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4" yWindow="65524" windowWidth="17652" windowHeight="5640" tabRatio="772" activeTab="3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8"/>
  </externalReferences>
  <definedNames>
    <definedName name="DT_Beamline">#REF!</definedName>
    <definedName name="DT_Controls">#REF!</definedName>
    <definedName name="DT_Diagnostics">#REF!</definedName>
    <definedName name="DT_OAG">#REF!</definedName>
    <definedName name="DT_Operations">#REF!</definedName>
    <definedName name="DT_Other">#REF!</definedName>
    <definedName name="DT_Physics">#REF!</definedName>
    <definedName name="DT_PS">#REF!</definedName>
    <definedName name="DT_RF">#REF!</definedName>
    <definedName name="DT_Scheduled">#REF!</definedName>
    <definedName name="DT_Vacuum">#REF!</definedName>
    <definedName name="DT_Water">#REF!</definedName>
    <definedName name="Faults_Day_of_Delivered_Beam">'Main Data'!$D$110</definedName>
    <definedName name="Mean_Time_Between_Faults">'Main Data'!$D$109</definedName>
    <definedName name="Number_of_Fills">'Main Data'!$D$102</definedName>
    <definedName name="Number_of_Intentional_Dumps">'Main Data'!$D$101</definedName>
    <definedName name="Number_of_Lost_Fills">'Main Data'!$D$100</definedName>
    <definedName name="_xlnm.Print_Area" localSheetId="3">'Faults Per Day'!$A$1:$W$67</definedName>
    <definedName name="_xlnm.Print_Area" localSheetId="0">'Main Data'!$A$2:$P$67</definedName>
    <definedName name="_xlnm.Print_Titles" localSheetId="0">'Main Data'!$5:$5</definedName>
    <definedName name="Refill_Time">'Main Data'!$D$1</definedName>
    <definedName name="Total_Schedule_Run_Length">'Main Data'!$D$106</definedName>
    <definedName name="Total_System_Downtime">'Main Data'!$K$102</definedName>
    <definedName name="Total_User_Beam">'Main Data'!$D$104</definedName>
    <definedName name="Total_User_Downtime">'Main Data'!$D$105</definedName>
    <definedName name="User_Beam_Days">'Main Data'!$E$104</definedName>
    <definedName name="X_ray_Availability">'Main Data'!$D$111</definedName>
  </definedNames>
  <calcPr fullCalcOnLoad="1"/>
  <pivotCaches>
    <pivotCache cacheId="3" r:id="rId5"/>
  </pivotCaches>
</workbook>
</file>

<file path=xl/sharedStrings.xml><?xml version="1.0" encoding="utf-8"?>
<sst xmlns="http://schemas.openxmlformats.org/spreadsheetml/2006/main" count="236" uniqueCount="97">
  <si>
    <t>Start</t>
  </si>
  <si>
    <t>End</t>
  </si>
  <si>
    <t>Length</t>
  </si>
  <si>
    <t>Fill #</t>
  </si>
  <si>
    <t>Cause</t>
  </si>
  <si>
    <t>Type</t>
  </si>
  <si>
    <t>Audit</t>
  </si>
  <si>
    <t>User 
Length</t>
  </si>
  <si>
    <t>Downtime</t>
  </si>
  <si>
    <t>User</t>
  </si>
  <si>
    <t>System</t>
  </si>
  <si>
    <t>Total User Beam</t>
  </si>
  <si>
    <t>Total User Downtime</t>
  </si>
  <si>
    <t>Total Schedule Run Length</t>
  </si>
  <si>
    <t>Number of Fills</t>
  </si>
  <si>
    <t>Number of Lost Fills</t>
  </si>
  <si>
    <t>Faults/Day of Delivered Beam</t>
  </si>
  <si>
    <t>X-ray Availability</t>
  </si>
  <si>
    <t>Number of Intentional Dumps</t>
  </si>
  <si>
    <t>Loss 
Reason</t>
  </si>
  <si>
    <t>DIN #</t>
  </si>
  <si>
    <t>System
Length</t>
  </si>
  <si>
    <t>Default Storage Ring Refill Time</t>
  </si>
  <si>
    <t>Refill Timing in Days</t>
  </si>
  <si>
    <t>Scheduled</t>
  </si>
  <si>
    <t>Description</t>
  </si>
  <si>
    <t>Store Lost</t>
  </si>
  <si>
    <t>SL</t>
  </si>
  <si>
    <t>Inhibits</t>
  </si>
  <si>
    <t>Mean Time Between Faults</t>
  </si>
  <si>
    <t xml:space="preserve">     </t>
  </si>
  <si>
    <t>&lt;-- This downtime includes Gaps Open</t>
  </si>
  <si>
    <t>Inhibits Beam</t>
  </si>
  <si>
    <t>TOTAL</t>
  </si>
  <si>
    <t>Intention. Dump</t>
  </si>
  <si>
    <t>User Beam days</t>
  </si>
  <si>
    <t>PS</t>
  </si>
  <si>
    <t>Group</t>
  </si>
  <si>
    <t>Int Dump: End of Period</t>
  </si>
  <si>
    <t>RF</t>
  </si>
  <si>
    <t>Other</t>
  </si>
  <si>
    <t>Grand Total</t>
  </si>
  <si>
    <t>Data</t>
  </si>
  <si>
    <t>Sum of Intention. Dump</t>
  </si>
  <si>
    <t>Sum of Inhibits Beam</t>
  </si>
  <si>
    <t>Sum of Store Lost</t>
  </si>
  <si>
    <t>Sum of System
Length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</si>
  <si>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</si>
  <si>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</si>
  <si>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</si>
  <si>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</si>
  <si>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</si>
  <si>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</si>
  <si>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</si>
  <si>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</si>
  <si>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</si>
  <si>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</si>
  <si>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</si>
  <si>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</si>
  <si>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Unidentified</t>
  </si>
  <si>
    <t>Total Hours</t>
  </si>
  <si>
    <t>Budget</t>
  </si>
  <si>
    <t>Hours for Run</t>
  </si>
  <si>
    <t xml:space="preserve">Faults </t>
  </si>
  <si>
    <t>SI</t>
  </si>
  <si>
    <t>MOM</t>
  </si>
  <si>
    <t>RF3 switch to Booster</t>
  </si>
  <si>
    <t>ACIS tripped to NSV [SI]</t>
  </si>
  <si>
    <t>Incorrect jumper applied[SI], refill</t>
  </si>
  <si>
    <t>RF3 switch to Booster,disable RF4 temp intlk [RF]</t>
  </si>
  <si>
    <t>Downtime for Run 2006-3</t>
  </si>
  <si>
    <t xml:space="preserve">S39 MPS Latch card [CTL] </t>
  </si>
  <si>
    <t>BPM glitch        [DIAG]</t>
  </si>
  <si>
    <t>CTL</t>
  </si>
  <si>
    <t>DIA</t>
  </si>
  <si>
    <t>31ID SS not closed 2.54 hr. [SI]</t>
  </si>
  <si>
    <t>UNK</t>
  </si>
  <si>
    <t>S36/37 Cav. Pwr Loss[RF]</t>
  </si>
  <si>
    <t>21ID FEEPS Flw fault[SI]</t>
  </si>
  <si>
    <t xml:space="preserve">Reset PLC backplane, refill </t>
  </si>
  <si>
    <t>S20:21 Raw P.S. trip[PS]</t>
  </si>
  <si>
    <t>Replaced relay in raw PS, refill</t>
  </si>
  <si>
    <t>Beam Instability    [OA]</t>
  </si>
  <si>
    <t>Beam instability   [PHY]</t>
  </si>
  <si>
    <t xml:space="preserve">Under Investigation </t>
  </si>
  <si>
    <t>OA</t>
  </si>
  <si>
    <t>PHY</t>
  </si>
  <si>
    <t>Network Storm       [IT]</t>
  </si>
  <si>
    <t xml:space="preserve">RF4 HVPS trip      {RF] </t>
  </si>
  <si>
    <t>S38 HOM trip        [RF]</t>
  </si>
  <si>
    <t>RF4 trip,0.5hr[RF];wrong cath. volt.,1.01hr[OA]</t>
  </si>
  <si>
    <t xml:space="preserve">Fixed loose RTD connection, refilled </t>
  </si>
  <si>
    <t>IT</t>
  </si>
  <si>
    <t>Inhibits beam to user</t>
  </si>
  <si>
    <t>Inibits beam to user</t>
  </si>
  <si>
    <t>Network</t>
  </si>
  <si>
    <t>Run 2006-3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</si>
</sst>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_);[Red]\(0.00\)"/>
    <numFmt numFmtId="166" formatCode="0.0"/>
    <numFmt numFmtId="167" formatCode="0.0%"/>
    <numFmt numFmtId="168" formatCode="0.000000000"/>
    <numFmt numFmtId="169" formatCode="0.0000000000"/>
    <numFmt numFmtId="170" formatCode="0.0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mm/dd/yy\ hh:mm"/>
    <numFmt numFmtId="178" formatCode="0.000000000000000%"/>
    <numFmt numFmtId="179" formatCode="0.0000000000000"/>
    <numFmt numFmtId="180" formatCode="0.000%"/>
    <numFmt numFmtId="181" formatCode="0.000_);[Red]\(0.000\)"/>
    <numFmt numFmtId="182" formatCode="0.0000_);[Red]\(0.0000\)"/>
    <numFmt numFmtId="183" formatCode="0.00000_);[Red]\(0.00000\)"/>
    <numFmt numFmtId="184" formatCode="0.000000_);[Red]\(0.000000\)"/>
    <numFmt numFmtId="185" formatCode="0.0_);[Red]\(0.0\)"/>
    <numFmt numFmtId="186" formatCode="0_);[Red]\(0\)"/>
    <numFmt numFmtId="187" formatCode="#,##0.0_);\(#,##0.0\)"/>
    <numFmt numFmtId="188" formatCode="0.000000000000"/>
    <numFmt numFmtId="189" formatCode="0.00;[Red]0.00;[Blue]&quot;ZERO!!!&quot;"/>
    <numFmt numFmtId="190" formatCode="0.000000000000000"/>
    <numFmt numFmtId="191" formatCode="0.00000000000000"/>
    <numFmt numFmtId="192" formatCode="0.0000000000000000"/>
    <numFmt numFmtId="193" formatCode="0.00000000000000000"/>
    <numFmt numFmtId="194" formatCode="0.000000000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mmm\-yyyy"/>
    <numFmt numFmtId="199" formatCode="[$€-2]\ #,##0.00_);[Red]\([$€-2]\ #,##0.00\)"/>
    <numFmt numFmtId="200" formatCode="m/d/yy\ h:mm;@"/>
    <numFmt numFmtId="201" formatCode="[$-409]dddd\,\ mmmm\ dd\,\ yyyy"/>
  </numFmts>
  <fonts count="1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27"/>
      <name val="Arial"/>
      <family val="0"/>
    </font>
    <font>
      <b/>
      <sz val="12"/>
      <name val="Arial"/>
      <family val="2"/>
    </font>
    <font>
      <b/>
      <sz val="17.25"/>
      <name val="Arial"/>
      <family val="2"/>
    </font>
    <font>
      <sz val="19.75"/>
      <name val="Arial"/>
      <family val="2"/>
    </font>
    <font>
      <sz val="31.25"/>
      <name val="Arial"/>
      <family val="0"/>
    </font>
    <font>
      <sz val="35.25"/>
      <name val="Arial"/>
      <family val="0"/>
    </font>
    <font>
      <sz val="12"/>
      <name val="Arial"/>
      <family val="2"/>
    </font>
    <font>
      <sz val="19.5"/>
      <name val="Arial"/>
      <family val="2"/>
    </font>
    <font>
      <b/>
      <sz val="39.25"/>
      <name val="Arial"/>
      <family val="0"/>
    </font>
    <font>
      <b/>
      <sz val="35.25"/>
      <name val="Arial"/>
      <family val="0"/>
    </font>
    <font>
      <b/>
      <sz val="15.75"/>
      <name val="Arial"/>
      <family val="2"/>
    </font>
    <font>
      <sz val="17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wrapText="1"/>
    </xf>
    <xf numFmtId="0" fontId="0" fillId="0" borderId="3" xfId="0" applyFill="1" applyBorder="1" applyAlignment="1">
      <alignment/>
    </xf>
    <xf numFmtId="177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4" fontId="3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1" fillId="0" borderId="3" xfId="0" applyNumberFormat="1" applyFont="1" applyFill="1" applyBorder="1" applyAlignment="1">
      <alignment horizontal="center" textRotation="90"/>
    </xf>
    <xf numFmtId="2" fontId="0" fillId="0" borderId="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17" applyNumberFormat="1" applyFont="1" applyFill="1" applyBorder="1" applyAlignment="1">
      <alignment horizontal="right"/>
    </xf>
    <xf numFmtId="189" fontId="1" fillId="0" borderId="3" xfId="0" applyNumberFormat="1" applyFont="1" applyFill="1" applyBorder="1" applyAlignment="1">
      <alignment horizontal="center" textRotation="9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Alignment="1">
      <alignment horizontal="right"/>
    </xf>
    <xf numFmtId="189" fontId="1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189" fontId="1" fillId="0" borderId="0" xfId="0" applyNumberFormat="1" applyFont="1" applyAlignment="1">
      <alignment/>
    </xf>
    <xf numFmtId="167" fontId="0" fillId="0" borderId="0" xfId="21" applyNumberFormat="1" applyFont="1" applyFill="1" applyAlignment="1">
      <alignment horizontal="right"/>
    </xf>
    <xf numFmtId="0" fontId="1" fillId="0" borderId="3" xfId="0" applyNumberFormat="1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177" fontId="1" fillId="0" borderId="3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0" fontId="1" fillId="0" borderId="3" xfId="0" applyFont="1" applyFill="1" applyBorder="1" applyAlignment="1">
      <alignment textRotation="90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7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0" fontId="1" fillId="0" borderId="5" xfId="0" applyFont="1" applyFill="1" applyBorder="1" applyAlignment="1">
      <alignment horizontal="center" textRotation="90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89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 horizontal="center"/>
    </xf>
    <xf numFmtId="177" fontId="0" fillId="2" borderId="3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 applyProtection="1">
      <alignment/>
      <protection/>
    </xf>
    <xf numFmtId="0" fontId="0" fillId="2" borderId="3" xfId="0" applyNumberFormat="1" applyFont="1" applyFill="1" applyBorder="1" applyAlignment="1" applyProtection="1">
      <alignment/>
      <protection locked="0"/>
    </xf>
    <xf numFmtId="0" fontId="0" fillId="2" borderId="3" xfId="0" applyNumberFormat="1" applyFont="1" applyFill="1" applyBorder="1" applyAlignment="1" applyProtection="1">
      <alignment horizontal="left"/>
      <protection/>
    </xf>
    <xf numFmtId="2" fontId="0" fillId="0" borderId="3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 horizontal="right"/>
    </xf>
    <xf numFmtId="17" fontId="3" fillId="0" borderId="0" xfId="0" applyNumberFormat="1" applyFont="1" applyFill="1" applyAlignment="1">
      <alignment/>
    </xf>
    <xf numFmtId="17" fontId="0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Alignment="1">
      <alignment horizontal="center"/>
    </xf>
    <xf numFmtId="2" fontId="0" fillId="4" borderId="3" xfId="0" applyNumberFormat="1" applyFont="1" applyFill="1" applyBorder="1" applyAlignment="1">
      <alignment horizontal="right"/>
    </xf>
    <xf numFmtId="0" fontId="0" fillId="4" borderId="3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NumberFormat="1" applyFont="1" applyFill="1" applyBorder="1" applyAlignment="1">
      <alignment/>
    </xf>
    <xf numFmtId="177" fontId="0" fillId="4" borderId="3" xfId="0" applyNumberFormat="1" applyFont="1" applyFill="1" applyBorder="1" applyAlignment="1">
      <alignment horizontal="left"/>
    </xf>
    <xf numFmtId="177" fontId="0" fillId="4" borderId="3" xfId="0" applyNumberFormat="1" applyFont="1" applyFill="1" applyBorder="1" applyAlignment="1">
      <alignment/>
    </xf>
    <xf numFmtId="0" fontId="0" fillId="4" borderId="3" xfId="0" applyNumberFormat="1" applyFont="1" applyFill="1" applyBorder="1" applyAlignment="1">
      <alignment horizontal="center"/>
    </xf>
    <xf numFmtId="177" fontId="0" fillId="4" borderId="3" xfId="0" applyNumberFormat="1" applyFont="1" applyFill="1" applyBorder="1" applyAlignment="1">
      <alignment horizontal="center"/>
    </xf>
    <xf numFmtId="0" fontId="0" fillId="4" borderId="3" xfId="0" applyNumberFormat="1" applyFont="1" applyFill="1" applyBorder="1" applyAlignment="1" applyProtection="1">
      <alignment/>
      <protection/>
    </xf>
    <xf numFmtId="0" fontId="0" fillId="4" borderId="3" xfId="0" applyNumberFormat="1" applyFont="1" applyFill="1" applyBorder="1" applyAlignment="1" applyProtection="1">
      <alignment horizontal="left"/>
      <protection/>
    </xf>
    <xf numFmtId="0" fontId="0" fillId="4" borderId="3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167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167" fontId="0" fillId="0" borderId="0" xfId="21" applyNumberFormat="1" applyFont="1" applyAlignment="1" applyProtection="1">
      <alignment vertical="top" wrapText="1"/>
      <protection locked="0"/>
    </xf>
    <xf numFmtId="2" fontId="0" fillId="0" borderId="0" xfId="21" applyNumberFormat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177" fontId="6" fillId="0" borderId="0" xfId="0" applyNumberFormat="1" applyFont="1" applyFill="1" applyAlignment="1">
      <alignment horizontal="right"/>
    </xf>
    <xf numFmtId="177" fontId="0" fillId="0" borderId="3" xfId="0" applyNumberFormat="1" applyFont="1" applyFill="1" applyBorder="1" applyAlignment="1">
      <alignment horizontal="left"/>
    </xf>
    <xf numFmtId="2" fontId="0" fillId="0" borderId="0" xfId="0" applyNumberFormat="1" applyBorder="1" applyAlignment="1" applyProtection="1">
      <alignment/>
      <protection locked="0"/>
    </xf>
    <xf numFmtId="0" fontId="0" fillId="0" borderId="3" xfId="0" applyNumberFormat="1" applyFont="1" applyFill="1" applyBorder="1" applyAlignment="1">
      <alignment horizontal="right"/>
    </xf>
    <xf numFmtId="177" fontId="0" fillId="0" borderId="3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left"/>
      <protection/>
    </xf>
    <xf numFmtId="0" fontId="0" fillId="0" borderId="3" xfId="0" applyNumberFormat="1" applyFont="1" applyFill="1" applyBorder="1" applyAlignment="1">
      <alignment horizontal="center" textRotation="90"/>
    </xf>
    <xf numFmtId="0" fontId="0" fillId="0" borderId="3" xfId="0" applyFont="1" applyFill="1" applyBorder="1" applyAlignment="1">
      <alignment horizontal="center" textRotation="90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4" borderId="3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center" textRotation="90"/>
    </xf>
    <xf numFmtId="0" fontId="0" fillId="4" borderId="3" xfId="0" applyFont="1" applyFill="1" applyBorder="1" applyAlignment="1" applyProtection="1">
      <alignment horizontal="left"/>
      <protection/>
    </xf>
    <xf numFmtId="0" fontId="0" fillId="4" borderId="3" xfId="0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>
      <alignment wrapText="1"/>
    </xf>
    <xf numFmtId="177" fontId="0" fillId="5" borderId="3" xfId="0" applyNumberFormat="1" applyFont="1" applyFill="1" applyBorder="1" applyAlignment="1">
      <alignment/>
    </xf>
    <xf numFmtId="0" fontId="0" fillId="5" borderId="3" xfId="0" applyNumberFormat="1" applyFont="1" applyFill="1" applyBorder="1" applyAlignment="1">
      <alignment horizontal="center"/>
    </xf>
    <xf numFmtId="177" fontId="0" fillId="5" borderId="3" xfId="0" applyNumberFormat="1" applyFont="1" applyFill="1" applyBorder="1" applyAlignment="1">
      <alignment horizontal="center"/>
    </xf>
    <xf numFmtId="177" fontId="0" fillId="5" borderId="3" xfId="0" applyNumberFormat="1" applyFont="1" applyFill="1" applyBorder="1" applyAlignment="1">
      <alignment horizontal="left"/>
    </xf>
    <xf numFmtId="2" fontId="0" fillId="5" borderId="3" xfId="0" applyNumberFormat="1" applyFont="1" applyFill="1" applyBorder="1" applyAlignment="1">
      <alignment horizontal="right"/>
    </xf>
    <xf numFmtId="0" fontId="0" fillId="5" borderId="3" xfId="0" applyNumberFormat="1" applyFont="1" applyFill="1" applyBorder="1" applyAlignment="1" applyProtection="1">
      <alignment/>
      <protection/>
    </xf>
    <xf numFmtId="0" fontId="0" fillId="5" borderId="3" xfId="0" applyNumberFormat="1" applyFont="1" applyFill="1" applyBorder="1" applyAlignment="1" applyProtection="1">
      <alignment horizontal="left"/>
      <protection/>
    </xf>
    <xf numFmtId="177" fontId="0" fillId="6" borderId="3" xfId="0" applyNumberFormat="1" applyFont="1" applyFill="1" applyBorder="1" applyAlignment="1">
      <alignment/>
    </xf>
    <xf numFmtId="0" fontId="0" fillId="6" borderId="3" xfId="0" applyNumberFormat="1" applyFont="1" applyFill="1" applyBorder="1" applyAlignment="1">
      <alignment horizontal="center"/>
    </xf>
    <xf numFmtId="177" fontId="0" fillId="6" borderId="3" xfId="0" applyNumberFormat="1" applyFont="1" applyFill="1" applyBorder="1" applyAlignment="1">
      <alignment horizontal="center"/>
    </xf>
    <xf numFmtId="177" fontId="0" fillId="6" borderId="3" xfId="0" applyNumberFormat="1" applyFont="1" applyFill="1" applyBorder="1" applyAlignment="1">
      <alignment horizontal="left"/>
    </xf>
    <xf numFmtId="2" fontId="0" fillId="6" borderId="3" xfId="0" applyNumberFormat="1" applyFont="1" applyFill="1" applyBorder="1" applyAlignment="1">
      <alignment horizontal="right"/>
    </xf>
    <xf numFmtId="0" fontId="0" fillId="6" borderId="3" xfId="0" applyNumberFormat="1" applyFont="1" applyFill="1" applyBorder="1" applyAlignment="1" applyProtection="1">
      <alignment/>
      <protection/>
    </xf>
    <xf numFmtId="0" fontId="0" fillId="6" borderId="3" xfId="0" applyNumberFormat="1" applyFont="1" applyFill="1" applyBorder="1" applyAlignment="1" applyProtection="1">
      <alignment horizontal="left"/>
      <protection/>
    </xf>
    <xf numFmtId="1" fontId="0" fillId="0" borderId="3" xfId="0" applyNumberFormat="1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2" formatCode="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Run 2006-3 Downtime by System 
October 3- December 20, 2006
 Scheduled User Time =  1769 hours                                  
User downtime=  25.73 hours</a:t>
            </a:r>
          </a:p>
        </c:rich>
      </c:tx>
      <c:layout>
        <c:manualLayout>
          <c:xMode val="factor"/>
          <c:yMode val="factor"/>
          <c:x val="0.02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9625"/>
          <c:w val="0.8765"/>
          <c:h val="0.88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Stats!$A$14</c:f>
              <c:strCache>
                <c:ptCount val="1"/>
                <c:pt idx="0">
                  <c:v>Hours for Run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Stats!$B$14:$R$14</c:f>
            </c:numRef>
          </c:val>
        </c:ser>
        <c:ser>
          <c:idx val="0"/>
          <c:order val="1"/>
          <c:tx>
            <c:strRef>
              <c:f>Stats!$A$15</c:f>
              <c:strCache>
                <c:ptCount val="1"/>
                <c:pt idx="0">
                  <c:v>Run 2006-3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Stats!$B$15:$R$15</c:f>
              <c:numCache>
                <c:ptCount val="17"/>
                <c:pt idx="0">
                  <c:v>0.004949811461042273</c:v>
                </c:pt>
                <c:pt idx="1">
                  <c:v>0.0003186573902331103</c:v>
                </c:pt>
                <c:pt idx="2">
                  <c:v>0.0005629613894006992</c:v>
                </c:pt>
                <c:pt idx="3">
                  <c:v>0.00020181634711424957</c:v>
                </c:pt>
                <c:pt idx="4">
                  <c:v>0</c:v>
                </c:pt>
                <c:pt idx="5">
                  <c:v>0.004408093897612599</c:v>
                </c:pt>
                <c:pt idx="6">
                  <c:v>0</c:v>
                </c:pt>
                <c:pt idx="7">
                  <c:v>0</c:v>
                </c:pt>
                <c:pt idx="8">
                  <c:v>0.0015826650381243943</c:v>
                </c:pt>
                <c:pt idx="9">
                  <c:v>0.0009453502575468839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0.0017207499071029899</c:v>
                </c:pt>
                <c:pt idx="16">
                  <c:v>0.0017101279940618325</c:v>
                </c:pt>
              </c:numCache>
            </c:numRef>
          </c:val>
        </c:ser>
        <c:ser>
          <c:idx val="1"/>
          <c:order val="2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Stats!$B$16:$R$16</c:f>
              <c:numCache>
                <c:ptCount val="17"/>
                <c:pt idx="0">
                  <c:v>0.005399999999999999</c:v>
                </c:pt>
                <c:pt idx="1">
                  <c:v>0.0012</c:v>
                </c:pt>
                <c:pt idx="2">
                  <c:v>0.005399999999999999</c:v>
                </c:pt>
                <c:pt idx="3">
                  <c:v>0.003</c:v>
                </c:pt>
                <c:pt idx="4">
                  <c:v>0.0006</c:v>
                </c:pt>
                <c:pt idx="5">
                  <c:v>0.0006</c:v>
                </c:pt>
                <c:pt idx="6">
                  <c:v>0.0006</c:v>
                </c:pt>
                <c:pt idx="7">
                  <c:v>0.0036</c:v>
                </c:pt>
                <c:pt idx="8">
                  <c:v>0.0012</c:v>
                </c:pt>
                <c:pt idx="9">
                  <c:v>0</c:v>
                </c:pt>
                <c:pt idx="10">
                  <c:v>0.0006</c:v>
                </c:pt>
                <c:pt idx="11">
                  <c:v>0.0006</c:v>
                </c:pt>
                <c:pt idx="12">
                  <c:v>0.0018</c:v>
                </c:pt>
                <c:pt idx="13">
                  <c:v>0.0006</c:v>
                </c:pt>
                <c:pt idx="14">
                  <c:v>0.0018</c:v>
                </c:pt>
                <c:pt idx="15">
                  <c:v>0.0012</c:v>
                </c:pt>
                <c:pt idx="16">
                  <c:v>0.0006</c:v>
                </c:pt>
              </c:numCache>
            </c:numRef>
          </c:val>
        </c:ser>
        <c:axId val="44225393"/>
        <c:axId val="7467982"/>
      </c:barChart>
      <c:catAx>
        <c:axId val="44225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467982"/>
        <c:crosses val="autoZero"/>
        <c:auto val="1"/>
        <c:lblOffset val="80"/>
        <c:noMultiLvlLbl val="0"/>
      </c:catAx>
      <c:valAx>
        <c:axId val="7467982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44225393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3366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65"/>
          <c:y val="0.165"/>
          <c:w val="0.12925"/>
          <c:h val="0.046"/>
        </c:manualLayout>
      </c:layout>
      <c:overlay val="0"/>
      <c:txPr>
        <a:bodyPr vert="horz" rot="0"/>
        <a:lstStyle/>
        <a:p>
          <a:pPr>
            <a:defRPr lang="en-US" cap="none" sz="1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925" b="1" i="0" u="none" baseline="0">
                <a:latin typeface="Arial"/>
                <a:ea typeface="Arial"/>
                <a:cs typeface="Arial"/>
              </a:rPr>
              <a:t>Run 2006-3 Faults Per Day By System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9675"/>
          <c:w val="0.8332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Stats!$A$20</c:f>
              <c:strCache>
                <c:ptCount val="1"/>
                <c:pt idx="0">
                  <c:v>Run 2006-3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Stats!$B$19:$R$19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Stats!$B$20:$R$20</c:f>
              <c:numCache>
                <c:ptCount val="17"/>
                <c:pt idx="0">
                  <c:v>0.04665176401984002</c:v>
                </c:pt>
                <c:pt idx="1">
                  <c:v>0.015550588006613339</c:v>
                </c:pt>
                <c:pt idx="2">
                  <c:v>0.015550588006613339</c:v>
                </c:pt>
                <c:pt idx="3">
                  <c:v>0.015550588006613339</c:v>
                </c:pt>
                <c:pt idx="4">
                  <c:v>0</c:v>
                </c:pt>
                <c:pt idx="5">
                  <c:v>0.04665176401984002</c:v>
                </c:pt>
                <c:pt idx="6">
                  <c:v>0</c:v>
                </c:pt>
                <c:pt idx="8">
                  <c:v>0.015550588006613339</c:v>
                </c:pt>
                <c:pt idx="9">
                  <c:v>0.015550588006613339</c:v>
                </c:pt>
                <c:pt idx="10">
                  <c:v>0</c:v>
                </c:pt>
                <c:pt idx="12">
                  <c:v>0</c:v>
                </c:pt>
                <c:pt idx="15">
                  <c:v>0.015550588006613339</c:v>
                </c:pt>
                <c:pt idx="16">
                  <c:v>0.0777529400330667</c:v>
                </c:pt>
              </c:numCache>
            </c:numRef>
          </c:val>
        </c:ser>
        <c:ser>
          <c:idx val="1"/>
          <c:order val="1"/>
          <c:tx>
            <c:strRef>
              <c:f>Stats!$A$21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Stats!$B$19:$R$19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Stats!$B$21:$R$21</c:f>
              <c:numCache>
                <c:ptCount val="17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0.06</c:v>
                </c:pt>
                <c:pt idx="8">
                  <c:v>0.02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0.01</c:v>
                </c:pt>
                <c:pt idx="16">
                  <c:v>0.02</c:v>
                </c:pt>
              </c:numCache>
            </c:numRef>
          </c:val>
        </c:ser>
        <c:axId val="15244887"/>
        <c:axId val="39448540"/>
      </c:barChart>
      <c:catAx>
        <c:axId val="1524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39448540"/>
        <c:crosses val="autoZero"/>
        <c:auto val="1"/>
        <c:lblOffset val="100"/>
        <c:noMultiLvlLbl val="0"/>
      </c:catAx>
      <c:valAx>
        <c:axId val="39448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25" b="1" i="0" u="none" baseline="0"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5244887"/>
        <c:crossesAt val="1"/>
        <c:crossBetween val="between"/>
        <c:dispUnits/>
      </c:valAx>
      <c:spPr>
        <a:gradFill rotWithShape="1">
          <a:gsLst>
            <a:gs pos="0">
              <a:srgbClr val="339966"/>
            </a:gs>
            <a:gs pos="100000">
              <a:srgbClr val="A5D2B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2485"/>
          <c:w val="0.0885"/>
          <c:h val="0.04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99</xdr:row>
      <xdr:rowOff>114300</xdr:rowOff>
    </xdr:from>
    <xdr:ext cx="85725" cy="171450"/>
    <xdr:sp>
      <xdr:nvSpPr>
        <xdr:cNvPr id="1" name="TextBox 1"/>
        <xdr:cNvSpPr txBox="1">
          <a:spLocks noChangeArrowheads="1"/>
        </xdr:cNvSpPr>
      </xdr:nvSpPr>
      <xdr:spPr>
        <a:xfrm>
          <a:off x="8648700" y="1732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123825</xdr:rowOff>
    </xdr:from>
    <xdr:ext cx="85725" cy="180975"/>
    <xdr:sp>
      <xdr:nvSpPr>
        <xdr:cNvPr id="2" name="TextBox 15"/>
        <xdr:cNvSpPr txBox="1">
          <a:spLocks noChangeArrowheads="1"/>
        </xdr:cNvSpPr>
      </xdr:nvSpPr>
      <xdr:spPr>
        <a:xfrm>
          <a:off x="8648700" y="10058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0.0005</cdr:x>
      <cdr:y>0.04475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5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590550</xdr:colOff>
      <xdr:row>65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12172950" cy="1064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23</xdr:col>
      <xdr:colOff>0</xdr:colOff>
      <xdr:row>66</xdr:row>
      <xdr:rowOff>47625</xdr:rowOff>
    </xdr:to>
    <xdr:graphicFrame>
      <xdr:nvGraphicFramePr>
        <xdr:cNvPr id="1" name="Chart 1"/>
        <xdr:cNvGraphicFramePr/>
      </xdr:nvGraphicFramePr>
      <xdr:xfrm>
        <a:off x="0" y="19050"/>
        <a:ext cx="14020800" cy="1071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7\2007Fy\reliability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(2)"/>
      <sheetName val="Downtime chart"/>
      <sheetName val="Lost Stores FY chart"/>
      <sheetName val="summary"/>
    </sheetNames>
    <sheetDataSet>
      <sheetData sheetId="1">
        <row r="7">
          <cell r="B7">
            <v>0.005399999999999999</v>
          </cell>
          <cell r="F7">
            <v>0.12</v>
          </cell>
        </row>
        <row r="8">
          <cell r="B8">
            <v>0.0012</v>
          </cell>
          <cell r="F8">
            <v>0.03</v>
          </cell>
        </row>
        <row r="9">
          <cell r="B9">
            <v>0.005399999999999999</v>
          </cell>
          <cell r="F9">
            <v>0.12</v>
          </cell>
        </row>
        <row r="10">
          <cell r="B10">
            <v>0.003</v>
          </cell>
        </row>
        <row r="11">
          <cell r="B11">
            <v>0.0012</v>
          </cell>
        </row>
        <row r="13">
          <cell r="B13">
            <v>0.0006</v>
          </cell>
        </row>
        <row r="14">
          <cell r="B14">
            <v>0.0006</v>
          </cell>
        </row>
        <row r="15">
          <cell r="B15">
            <v>0.0006</v>
          </cell>
        </row>
        <row r="16">
          <cell r="B16">
            <v>0.0036</v>
          </cell>
        </row>
        <row r="18">
          <cell r="B18">
            <v>0.0012</v>
          </cell>
        </row>
        <row r="19">
          <cell r="B19">
            <v>0</v>
          </cell>
        </row>
        <row r="20">
          <cell r="B20">
            <v>0.0006</v>
          </cell>
        </row>
        <row r="24">
          <cell r="B24">
            <v>0.0006</v>
          </cell>
        </row>
        <row r="25">
          <cell r="B25">
            <v>0.0018</v>
          </cell>
        </row>
        <row r="26">
          <cell r="B26">
            <v>0.0006</v>
          </cell>
        </row>
        <row r="27">
          <cell r="B27">
            <v>0.0018</v>
          </cell>
        </row>
        <row r="28">
          <cell r="B28">
            <v>0.0006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5:T53" sheet="Main Data"/>
  </cacheSource>
  <cacheFields count="20">
    <cacheField name="Fill #">
      <sharedItems containsString="0" containsBlank="1" containsMixedTypes="0" containsNumber="1" containsInteger="1" count="29">
        <m/>
        <n v="1"/>
        <n v="2"/>
        <n v="3"/>
        <n v="5"/>
        <n v="6"/>
        <n v="7"/>
        <n v="8"/>
        <n v="9"/>
        <n v="10"/>
        <n v="11"/>
        <n v="12"/>
        <n v="13"/>
        <n v="14"/>
        <n v="15"/>
        <n v="16"/>
        <n v="17"/>
        <n v="19"/>
        <n v="20"/>
        <n v="21"/>
        <n v="22"/>
        <n v="23"/>
        <n v="24"/>
        <n v="25"/>
        <n v="26"/>
        <n v="27"/>
        <n v="28"/>
        <n v="29"/>
        <n v="30"/>
      </sharedItems>
    </cacheField>
    <cacheField name="Start">
      <sharedItems containsDate="1" containsString="0" containsBlank="1" containsMixedTypes="0" count="29">
        <m/>
        <d v="2006-10-03T12:31:00.000"/>
        <d v="2006-10-04T15:02:00.000"/>
        <d v="2006-10-11T08:00:00.000"/>
        <d v="2006-10-11T16:37:00.000"/>
        <d v="2006-10-14T19:18:00.000"/>
        <d v="2006-10-15T06:22:00.000"/>
        <d v="2006-10-18T08:00:00.000"/>
        <d v="2006-10-25T08:00:00.000"/>
        <d v="2006-11-01T08:00:00.000"/>
        <d v="2006-11-03T21:17:00.000"/>
        <d v="2006-11-04T03:35:00.000"/>
        <d v="2006-11-05T03:36:00.000"/>
        <d v="2006-11-08T08:00:00.000"/>
        <d v="2006-11-08T12:07:00.000"/>
        <d v="2006-11-15T08:00:00.000"/>
        <d v="2006-11-16T00:30:00.000"/>
        <d v="2006-11-16T08:03:00.000"/>
        <d v="2006-11-19T19:14:00.000"/>
        <d v="2006-11-20T14:15:00.000"/>
        <d v="2006-11-21T01:06:00.000"/>
        <d v="2006-11-24T08:00:00.000"/>
        <d v="2006-11-29T08:00:00.000"/>
        <d v="2006-12-03T23:52:00.000"/>
        <d v="2006-12-06T08:00:00.000"/>
        <d v="2006-12-13T08:00:00.000"/>
        <d v="2006-12-15T15:36:00.000"/>
        <d v="2006-12-18T19:31:00.000"/>
        <d v="2006-12-19T06:48:00.000"/>
      </sharedItems>
    </cacheField>
    <cacheField name="End">
      <sharedItems containsDate="1" containsString="0" containsBlank="1" containsMixedTypes="0" count="29">
        <m/>
        <d v="2006-10-04T14:11:00.000"/>
        <d v="2006-10-10T08:00:00.000"/>
        <d v="2006-10-11T15:38:00.000"/>
        <d v="2006-10-14T18:59:00.000"/>
        <d v="2006-10-15T03:19:00.000"/>
        <d v="2006-10-17T08:00:00.000"/>
        <d v="2006-10-23T08:00:00.000"/>
        <d v="2006-10-31T08:00:00.000"/>
        <d v="2006-11-03T20:50:00.000"/>
        <d v="2006-11-04T00:58:00.000"/>
        <d v="2006-11-05T02:42:00.000"/>
        <d v="2006-11-07T08:00:00.000"/>
        <d v="2006-11-08T11:14:00.000"/>
        <d v="2006-11-13T08:00:00.000"/>
        <d v="2006-11-16T00:05:00.000"/>
        <d v="2006-11-16T05:31:00.000"/>
        <d v="2006-11-19T18:50:00.000"/>
        <d v="2006-11-20T13:36:00.000"/>
        <d v="2006-11-21T00:50:00.000"/>
        <d v="2006-11-23T00:00:00.000"/>
        <d v="2006-11-28T08:00:00.000"/>
        <d v="2006-12-03T23:29:00.000"/>
        <d v="2006-12-05T08:00:00.000"/>
        <d v="2006-12-12T08:00:00.000"/>
        <d v="2006-12-15T12:54:00.000"/>
        <d v="2006-12-18T18:00:00.000"/>
        <d v="2006-12-19T04:30:00.000"/>
        <d v="2006-12-20T00:05:00.000"/>
      </sharedItems>
    </cacheField>
    <cacheField name="Length">
      <sharedItems containsMixedTypes="1" containsNumber="1"/>
    </cacheField>
    <cacheField name="Loss &#10;Reason">
      <sharedItems containsBlank="1" containsMixedTypes="0" count="15">
        <s v="RF3 switch to Booster"/>
        <s v="ACIS tripped to NSV [SI]"/>
        <s v="Int Dump: End of Period"/>
        <m/>
        <s v="S39 MPS Latch card [CTL] "/>
        <s v="BPM glitch        [DIAG]"/>
        <s v="S36/37 Cav. Pwr Loss[RF]"/>
        <s v="21ID FEEPS Flw fault[SI]"/>
        <s v="S20:21 Raw P.S. trip[PS]"/>
        <s v="Beam Instability    [OA]"/>
        <s v="Beam instability   [PHY]"/>
        <s v="Under Investigation "/>
        <s v="Network Storm       [IT]"/>
        <s v="RF4 HVPS trip      {RF] "/>
        <s v="S38 HOM trip        [RF]"/>
      </sharedItems>
    </cacheField>
    <cacheField name="DIN #">
      <sharedItems containsString="0" containsBlank="1" containsMixedTypes="0" containsNumber="1" containsInteger="1" count="19">
        <n v="105170"/>
        <n v="105171"/>
        <m/>
        <n v="105177"/>
        <n v="105179"/>
        <n v="105180"/>
        <n v="105193"/>
        <n v="105194"/>
        <n v="105195"/>
        <n v="105198"/>
        <n v="105200"/>
        <n v="105202"/>
        <n v="105203"/>
        <n v="105205"/>
        <n v="105206"/>
        <n v="105209"/>
        <n v="105211"/>
        <n v="105212"/>
        <n v="105213"/>
      </sharedItems>
    </cacheField>
    <cacheField name="Audit">
      <sharedItems containsString="0" containsBlank="1" count="1">
        <m/>
      </sharedItems>
    </cacheField>
    <cacheField name="Start2">
      <sharedItems containsDate="1" containsString="0" containsBlank="1" containsMixedTypes="0" count="23">
        <d v="2006-10-03T08:00:00.000"/>
        <d v="2006-10-04T14:11:00.000"/>
        <m/>
        <d v="2006-10-11T15:38:00.000"/>
        <d v="2006-10-14T18:59:00.000"/>
        <d v="2006-10-15T03:19:00.000"/>
        <d v="2006-10-15T03:49:00.000"/>
        <d v="2006-11-03T20:50:00.000"/>
        <d v="2006-11-04T00:58:00.000"/>
        <d v="2006-11-05T02:42:00.000"/>
        <d v="2006-11-08T11:14:00.000"/>
        <d v="2006-11-16T00:05:00.000"/>
        <d v="2006-11-16T00:17:00.000"/>
        <d v="2006-11-16T05:31:00.000"/>
        <d v="2006-11-16T06:47:00.000"/>
        <d v="2006-11-19T18:50:00.000"/>
        <d v="2006-11-20T13:36:00.000"/>
        <d v="2006-11-21T00:50:00.000"/>
        <d v="2006-12-03T23:29:00.000"/>
        <d v="2006-12-15T12:54:00.000"/>
        <d v="2006-12-18T18:00:00.000"/>
        <d v="2006-12-18T18:30:00.000"/>
        <d v="2006-12-19T04:30:00.000"/>
      </sharedItems>
    </cacheField>
    <cacheField name="End2">
      <sharedItems containsDate="1" containsString="0" containsBlank="1" containsMixedTypes="0" count="23">
        <d v="2006-10-03T12:31:00.000"/>
        <d v="2006-10-04T15:02:00.000"/>
        <m/>
        <d v="2006-10-11T16:37:00.000"/>
        <d v="2006-10-14T19:18:00.000"/>
        <d v="2006-10-15T06:22:00.000"/>
        <d v="2006-10-15T03:49:00.000"/>
        <d v="2006-11-03T21:17:00.000"/>
        <d v="2006-11-04T03:35:00.000"/>
        <d v="2006-11-05T03:36:00.000"/>
        <d v="2006-11-08T12:07:00.000"/>
        <d v="2006-11-16T00:30:00.000"/>
        <d v="2006-11-16T00:17:00.000"/>
        <d v="2006-11-16T08:03:00.000"/>
        <d v="2006-11-16T06:47:00.000"/>
        <d v="2006-11-19T19:14:00.000"/>
        <d v="2006-11-20T14:15:00.000"/>
        <d v="2006-11-21T01:06:00.000"/>
        <d v="2006-12-03T23:52:00.000"/>
        <d v="2006-12-15T15:36:00.000"/>
        <d v="2006-12-18T19:31:00.000"/>
        <d v="2006-12-18T18:30:00.000"/>
        <d v="2006-12-19T06:48:00.000"/>
      </sharedItems>
    </cacheField>
    <cacheField name="User &#10;Length">
      <sharedItems containsString="0" containsBlank="1" containsMixedTypes="0" containsNumber="1" count="25">
        <n v="4.516666666546371"/>
        <n v="0.8499999999767169"/>
        <n v="0"/>
        <n v="5.366666666523088"/>
        <n v="0.9833333333954215"/>
        <n v="0.3166666666511446"/>
        <n v="3.0499999999883585"/>
        <m/>
        <n v="4.350000000034925"/>
        <n v="0.4500000000698492"/>
        <n v="2.616666666639503"/>
        <n v="0.8999999999650754"/>
        <n v="3.9666666666744277"/>
        <n v="0.8833333334187046"/>
        <n v="0.41666666680248454"/>
        <n v="2.53333333338378"/>
        <n v="0.4000000000814907"/>
        <n v="0.6500000000232831"/>
        <n v="0.26666666666278616"/>
        <n v="4.2666666669538245"/>
        <n v="0.3833333331858739"/>
        <n v="2.700000000069849"/>
        <n v="1.5166666667209938"/>
        <n v="2.2999999999883585"/>
        <n v="6.5166666667792015"/>
      </sharedItems>
    </cacheField>
    <cacheField name="System&#10;Length">
      <sharedItems containsString="0" containsBlank="1" containsMixedTypes="0" containsNumber="1" count="28">
        <n v="4.516666666546371"/>
        <n v="0.8499999999767169"/>
        <n v="0"/>
        <n v="5.366666666523088"/>
        <n v="0.9833333333954215"/>
        <n v="0.3166666666511446"/>
        <m/>
        <n v="0.5000000000582077"/>
        <n v="2.549999999930151"/>
        <n v="4.350000000034925"/>
        <n v="0.4500000000698492"/>
        <n v="2.616666666639503"/>
        <n v="0.8999999999650754"/>
        <n v="3.9666666666744277"/>
        <n v="0.8833333334187046"/>
        <n v="0.20000000012805685"/>
        <n v="0.2166666666744277"/>
        <n v="1.2666666666045785"/>
        <n v="1.2666666667792015"/>
        <n v="0.4000000000814907"/>
        <n v="0.6500000000232831"/>
        <n v="0.26666666666278616"/>
        <n v="4.2666666669538245"/>
        <n v="0.3833333331858739"/>
        <n v="2.700000000069849"/>
        <n v="1.0166666666627862"/>
        <n v="2.2999999999883585"/>
        <n v="6.5166666667792015"/>
      </sharedItems>
    </cacheField>
    <cacheField name="Cause">
      <sharedItems containsBlank="1" containsMixedTypes="0" count="11">
        <s v="RF"/>
        <s v="SI"/>
        <s v="Scheduled"/>
        <m/>
        <s v="UNK"/>
        <s v="CTL"/>
        <s v="DIA"/>
        <s v="PS"/>
        <s v="OA"/>
        <s v="PHY"/>
        <s v="IT"/>
      </sharedItems>
    </cacheField>
    <cacheField name="System">
      <sharedItems containsBlank="1" containsMixedTypes="0" count="10">
        <s v="RF"/>
        <s v="SI"/>
        <m/>
        <s v="UNK"/>
        <s v="CTL"/>
        <s v="DIA"/>
        <s v="PS"/>
        <s v="OA"/>
        <s v="PHY"/>
        <s v="IT"/>
      </sharedItems>
    </cacheField>
    <cacheField name="Group">
      <sharedItems containsBlank="1" containsMixedTypes="0" count="18">
        <s v="RF"/>
        <s v="SI"/>
        <m/>
        <s v="UNK"/>
        <s v="CTL"/>
        <s v="DIA"/>
        <s v="PS"/>
        <s v="OA"/>
        <s v="PHY"/>
        <s v="IT"/>
        <s v="ME"/>
        <s v="MOM"/>
        <s v="OAG"/>
        <s v="OPS"/>
        <s v="Other"/>
        <s v="PFS"/>
        <s v="UES"/>
        <s v="XFD"/>
      </sharedItems>
    </cacheField>
    <cacheField name="Type">
      <sharedItems containsBlank="1" containsMixedTypes="0" count="4">
        <s v="Inhibits beam to user"/>
        <s v="Store Lost"/>
        <m/>
        <s v="Inibits beam to user"/>
      </sharedItems>
    </cacheField>
    <cacheField name="Description">
      <sharedItems containsBlank="1" containsMixedTypes="0" count="8">
        <s v="RF3 switch to Booster,disable RF4 temp intlk [RF]"/>
        <s v="Incorrect jumper applied[SI], refill"/>
        <m/>
        <s v="31ID SS not closed 2.54 hr. [SI]"/>
        <s v="Reset PLC backplane, refill "/>
        <s v="Replaced relay in raw PS, refill"/>
        <s v="RF4 trip,0.5hr[RF];wrong cath. volt.,1.01hr[OA]"/>
        <s v="Fixed loose RTD connection, refilled "/>
      </sharedItems>
    </cacheField>
    <cacheField name="Store Lost">
      <sharedItems containsMixedTypes="1" containsNumber="1" containsInteger="1" count="2">
        <s v=""/>
        <n v="1"/>
      </sharedItems>
    </cacheField>
    <cacheField name="Intention. Dump">
      <sharedItems containsMixedTypes="1" containsNumber="1" containsInteger="1" count="2">
        <s v=""/>
        <n v="1"/>
      </sharedItems>
    </cacheField>
    <cacheField name="Inhibits Beam">
      <sharedItems containsMixedTypes="1" containsNumber="1" containsInteger="1" count="2">
        <n v="1"/>
        <s v=""/>
      </sharedItems>
    </cacheField>
    <cacheField name="TOTAL">
      <sharedItems containsSemiMixedTypes="0" containsString="0" containsMixedTypes="0" containsNumber="1" containsInteger="1" count="2">
        <n v="1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K8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9">
        <item x="4"/>
        <item m="1" x="12"/>
        <item m="1" x="14"/>
        <item x="6"/>
        <item x="0"/>
        <item m="1" x="16"/>
        <item x="3"/>
        <item m="1" x="17"/>
        <item h="1" x="2"/>
        <item m="1" x="10"/>
        <item m="1" x="13"/>
        <item x="1"/>
        <item m="1" x="11"/>
        <item x="5"/>
        <item m="1" x="15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4">
    <i>
      <x/>
    </i>
    <i i="1">
      <x v="1"/>
    </i>
    <i i="2">
      <x v="2"/>
    </i>
    <i i="3">
      <x v="3"/>
    </i>
  </rowItems>
  <colFields count="1">
    <field x="13"/>
  </colFields>
  <colItems count="10">
    <i>
      <x/>
    </i>
    <i>
      <x v="3"/>
    </i>
    <i>
      <x v="4"/>
    </i>
    <i>
      <x v="6"/>
    </i>
    <i>
      <x v="11"/>
    </i>
    <i>
      <x v="13"/>
    </i>
    <i>
      <x v="15"/>
    </i>
    <i>
      <x v="16"/>
    </i>
    <i>
      <x v="17"/>
    </i>
    <i t="grand">
      <x/>
    </i>
  </colItems>
  <dataFields count="4">
    <dataField name="Sum of Inhibits Beam" fld="18" baseField="0" baseItem="0"/>
    <dataField name="Sum of Intention. Dump" fld="17" baseField="0" baseItem="0"/>
    <dataField name="Sum of Store Lost" fld="16" baseField="0" baseItem="0"/>
    <dataField name="Sum of System&#10;Length" fld="10" baseField="0" baseItem="0" numFmtId="2"/>
  </dataFields>
  <formats count="1">
    <format dxfId="0">
      <pivotArea outline="0" fieldPosition="0">
        <references count="1">
          <reference field="4294967294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148"/>
  <sheetViews>
    <sheetView zoomScale="75" zoomScaleNormal="75" workbookViewId="0" topLeftCell="A1">
      <pane ySplit="5" topLeftCell="BM50" activePane="bottomLeft" state="frozen"/>
      <selection pane="topLeft" activeCell="A1" sqref="A1"/>
      <selection pane="bottomLeft" activeCell="I84" sqref="I84"/>
    </sheetView>
  </sheetViews>
  <sheetFormatPr defaultColWidth="9.140625" defaultRowHeight="12.75"/>
  <cols>
    <col min="1" max="1" width="6.8515625" style="30" customWidth="1"/>
    <col min="2" max="2" width="16.140625" style="19" bestFit="1" customWidth="1"/>
    <col min="3" max="3" width="14.421875" style="19" customWidth="1"/>
    <col min="4" max="4" width="7.7109375" style="22" customWidth="1"/>
    <col min="5" max="5" width="27.57421875" style="23" customWidth="1"/>
    <col min="6" max="6" width="9.421875" style="51" customWidth="1"/>
    <col min="7" max="7" width="3.28125" style="49" customWidth="1"/>
    <col min="8" max="8" width="14.421875" style="32" customWidth="1"/>
    <col min="9" max="9" width="14.28125" style="32" customWidth="1"/>
    <col min="10" max="10" width="7.7109375" style="22" customWidth="1"/>
    <col min="11" max="11" width="7.8515625" style="35" customWidth="1"/>
    <col min="12" max="12" width="11.421875" style="63" customWidth="1"/>
    <col min="13" max="13" width="13.28125" style="64" customWidth="1"/>
    <col min="14" max="14" width="11.421875" style="64" customWidth="1"/>
    <col min="15" max="15" width="22.00390625" style="63" customWidth="1"/>
    <col min="16" max="16" width="69.28125" style="9" customWidth="1"/>
    <col min="17" max="19" width="5.8515625" style="1" customWidth="1"/>
    <col min="20" max="16384" width="9.140625" style="1" customWidth="1"/>
  </cols>
  <sheetData>
    <row r="1" spans="1:24" ht="12.75">
      <c r="A1" s="17" t="s">
        <v>22</v>
      </c>
      <c r="B1" s="16"/>
      <c r="C1" s="16"/>
      <c r="D1" s="7">
        <v>0.25</v>
      </c>
      <c r="E1" s="14" t="s">
        <v>30</v>
      </c>
      <c r="F1" s="15"/>
      <c r="G1" s="48"/>
      <c r="H1" s="31"/>
      <c r="I1" s="31"/>
      <c r="J1" s="7"/>
      <c r="K1" s="33"/>
      <c r="L1" s="57"/>
      <c r="M1" s="58"/>
      <c r="N1" s="58"/>
      <c r="O1" s="57"/>
      <c r="P1" s="8"/>
      <c r="W1" s="6" t="s">
        <v>23</v>
      </c>
      <c r="X1" s="1">
        <f>D1/24</f>
        <v>0.010416666666666666</v>
      </c>
    </row>
    <row r="2" spans="1:16" ht="24">
      <c r="A2" s="166" t="s">
        <v>70</v>
      </c>
      <c r="B2" s="166"/>
      <c r="C2" s="166"/>
      <c r="D2" s="166"/>
      <c r="E2" s="166"/>
      <c r="F2" s="166"/>
      <c r="G2" s="166"/>
      <c r="H2" s="166"/>
      <c r="I2" s="166"/>
      <c r="J2" s="46"/>
      <c r="K2" s="46"/>
      <c r="L2" s="59"/>
      <c r="M2" s="60"/>
      <c r="N2" s="60"/>
      <c r="O2" s="59"/>
      <c r="P2" s="8"/>
    </row>
    <row r="3" spans="1:20" s="3" customFormat="1" ht="12.75">
      <c r="A3" s="29"/>
      <c r="B3" s="16"/>
      <c r="C3" s="16"/>
      <c r="D3" s="7"/>
      <c r="E3" s="14"/>
      <c r="F3" s="50"/>
      <c r="G3" s="48"/>
      <c r="H3" s="31"/>
      <c r="I3" s="31"/>
      <c r="J3" s="7"/>
      <c r="K3" s="33"/>
      <c r="L3" s="57"/>
      <c r="M3" s="58"/>
      <c r="N3" s="58"/>
      <c r="O3" s="57"/>
      <c r="P3" s="8"/>
      <c r="Q3" s="1"/>
      <c r="R3" s="1"/>
      <c r="S3" s="1"/>
      <c r="T3" s="1"/>
    </row>
    <row r="4" spans="1:20" s="3" customFormat="1" ht="12.75">
      <c r="A4" s="29"/>
      <c r="B4" s="16"/>
      <c r="C4" s="16"/>
      <c r="D4" s="7"/>
      <c r="E4" s="14"/>
      <c r="F4" s="50"/>
      <c r="G4" s="48"/>
      <c r="H4" s="31"/>
      <c r="I4" s="31"/>
      <c r="J4" s="7"/>
      <c r="K4" s="33"/>
      <c r="L4" s="57"/>
      <c r="M4" s="58"/>
      <c r="N4" s="58"/>
      <c r="O4" s="57"/>
      <c r="P4" s="8"/>
      <c r="Q4" s="1"/>
      <c r="R4" s="1"/>
      <c r="S4" s="1"/>
      <c r="T4" s="1"/>
    </row>
    <row r="5" spans="1:20" s="3" customFormat="1" ht="81" customHeight="1">
      <c r="A5" s="37" t="s">
        <v>3</v>
      </c>
      <c r="B5" s="39" t="s">
        <v>0</v>
      </c>
      <c r="C5" s="39" t="s">
        <v>1</v>
      </c>
      <c r="D5" s="24" t="s">
        <v>2</v>
      </c>
      <c r="E5" s="38" t="s">
        <v>19</v>
      </c>
      <c r="F5" s="37" t="s">
        <v>20</v>
      </c>
      <c r="G5" s="10" t="s">
        <v>6</v>
      </c>
      <c r="H5" s="39" t="s">
        <v>0</v>
      </c>
      <c r="I5" s="39" t="s">
        <v>1</v>
      </c>
      <c r="J5" s="24" t="s">
        <v>7</v>
      </c>
      <c r="K5" s="28" t="s">
        <v>21</v>
      </c>
      <c r="L5" s="61" t="s">
        <v>4</v>
      </c>
      <c r="M5" s="62" t="s">
        <v>10</v>
      </c>
      <c r="N5" s="62" t="s">
        <v>37</v>
      </c>
      <c r="O5" s="61" t="s">
        <v>5</v>
      </c>
      <c r="P5" s="11" t="s">
        <v>25</v>
      </c>
      <c r="Q5" s="44" t="s">
        <v>26</v>
      </c>
      <c r="R5" s="44" t="s">
        <v>34</v>
      </c>
      <c r="S5" s="44" t="s">
        <v>32</v>
      </c>
      <c r="T5" s="53" t="s">
        <v>33</v>
      </c>
    </row>
    <row r="6" spans="1:20" s="3" customFormat="1" ht="12.75" customHeight="1">
      <c r="A6" s="129"/>
      <c r="B6" s="126"/>
      <c r="C6" s="126"/>
      <c r="D6" s="75">
        <f>(C6-B6)*24</f>
        <v>0</v>
      </c>
      <c r="E6" s="132" t="s">
        <v>66</v>
      </c>
      <c r="F6" s="125">
        <v>105170</v>
      </c>
      <c r="G6" s="130"/>
      <c r="H6" s="121">
        <v>38993.333333333336</v>
      </c>
      <c r="I6" s="121">
        <v>38993.521527777775</v>
      </c>
      <c r="J6" s="75">
        <f>(I6-H6)*24</f>
        <v>4.516666666546371</v>
      </c>
      <c r="K6" s="75">
        <f>(I6-H6)*24</f>
        <v>4.516666666546371</v>
      </c>
      <c r="L6" s="133" t="s">
        <v>39</v>
      </c>
      <c r="M6" s="134" t="s">
        <v>39</v>
      </c>
      <c r="N6" s="134" t="s">
        <v>39</v>
      </c>
      <c r="O6" s="133" t="s">
        <v>93</v>
      </c>
      <c r="P6" s="131" t="s">
        <v>69</v>
      </c>
      <c r="Q6" s="82">
        <f aca="true" t="shared" si="0" ref="Q6:Q53">IF($O6="Store Lost",1,"")</f>
      </c>
      <c r="R6" s="82">
        <f aca="true" t="shared" si="1" ref="R6:R53">IF($L6="Scheduled",1,"")</f>
      </c>
      <c r="S6" s="82">
        <f aca="true" t="shared" si="2" ref="S6:S53">IF($O6="Inhibits beam to user",1,"")</f>
        <v>1</v>
      </c>
      <c r="T6" s="83">
        <f aca="true" t="shared" si="3" ref="T6:T13">SUM(Q6:S6)</f>
        <v>1</v>
      </c>
    </row>
    <row r="7" spans="1:23" s="85" customFormat="1" ht="12.75">
      <c r="A7" s="92">
        <v>1</v>
      </c>
      <c r="B7" s="86">
        <v>38993.521527777775</v>
      </c>
      <c r="C7" s="86">
        <v>38994.59097222222</v>
      </c>
      <c r="D7" s="81">
        <f>(C7-B7)*24</f>
        <v>25.66666666668607</v>
      </c>
      <c r="E7" s="87" t="s">
        <v>67</v>
      </c>
      <c r="F7" s="88">
        <v>105171</v>
      </c>
      <c r="G7" s="89"/>
      <c r="H7" s="86">
        <v>38994.59097222222</v>
      </c>
      <c r="I7" s="86">
        <v>38994.626388888886</v>
      </c>
      <c r="J7" s="81">
        <f>(I7-H7)*24</f>
        <v>0.8499999999767169</v>
      </c>
      <c r="K7" s="81">
        <f>(I7-H7)*24</f>
        <v>0.8499999999767169</v>
      </c>
      <c r="L7" s="90" t="s">
        <v>64</v>
      </c>
      <c r="M7" s="90" t="s">
        <v>64</v>
      </c>
      <c r="N7" s="90" t="s">
        <v>64</v>
      </c>
      <c r="O7" s="91" t="s">
        <v>26</v>
      </c>
      <c r="P7" s="87" t="s">
        <v>68</v>
      </c>
      <c r="Q7" s="82">
        <f t="shared" si="0"/>
        <v>1</v>
      </c>
      <c r="R7" s="82">
        <f t="shared" si="1"/>
      </c>
      <c r="S7" s="82">
        <f t="shared" si="2"/>
      </c>
      <c r="T7" s="83">
        <f t="shared" si="3"/>
        <v>1</v>
      </c>
      <c r="U7" s="84"/>
      <c r="V7" s="84"/>
      <c r="W7" s="84"/>
    </row>
    <row r="8" spans="1:23" s="76" customFormat="1" ht="12.75">
      <c r="A8" s="123">
        <v>2</v>
      </c>
      <c r="B8" s="121">
        <v>38994.626388888886</v>
      </c>
      <c r="C8" s="121">
        <v>39000.333333333336</v>
      </c>
      <c r="D8" s="75">
        <f>(C8-B8)*24</f>
        <v>136.96666666679084</v>
      </c>
      <c r="E8" s="124" t="s">
        <v>38</v>
      </c>
      <c r="F8" s="125"/>
      <c r="G8" s="126"/>
      <c r="H8" s="121"/>
      <c r="I8" s="121"/>
      <c r="J8" s="75">
        <f>(I8-H8)*24</f>
        <v>0</v>
      </c>
      <c r="K8" s="75">
        <f>(I8-H8)*24</f>
        <v>0</v>
      </c>
      <c r="L8" s="127" t="s">
        <v>24</v>
      </c>
      <c r="M8" s="127"/>
      <c r="N8" s="127"/>
      <c r="O8" s="128"/>
      <c r="P8" s="124"/>
      <c r="Q8" s="12">
        <f t="shared" si="0"/>
      </c>
      <c r="R8" s="12">
        <f t="shared" si="1"/>
        <v>1</v>
      </c>
      <c r="S8" s="12">
        <f t="shared" si="2"/>
      </c>
      <c r="T8" s="54">
        <f t="shared" si="3"/>
        <v>1</v>
      </c>
      <c r="U8" s="3"/>
      <c r="V8" s="3"/>
      <c r="W8" s="3"/>
    </row>
    <row r="9" spans="1:23" s="76" customFormat="1" ht="12.75">
      <c r="A9" s="66"/>
      <c r="B9" s="67"/>
      <c r="C9" s="67"/>
      <c r="D9" s="68">
        <f>SUM(D6:D8)</f>
        <v>162.6333333334769</v>
      </c>
      <c r="E9" s="69"/>
      <c r="F9" s="70"/>
      <c r="G9" s="71"/>
      <c r="H9" s="67"/>
      <c r="I9" s="67"/>
      <c r="J9" s="68">
        <f>SUM(J6:J8)</f>
        <v>5.366666666523088</v>
      </c>
      <c r="K9" s="68">
        <f>SUM(K6:K8)</f>
        <v>5.366666666523088</v>
      </c>
      <c r="L9" s="72"/>
      <c r="M9" s="73"/>
      <c r="N9" s="73"/>
      <c r="O9" s="74"/>
      <c r="P9" s="69"/>
      <c r="Q9" s="55">
        <f t="shared" si="0"/>
      </c>
      <c r="R9" s="12">
        <f t="shared" si="1"/>
      </c>
      <c r="S9" s="12">
        <f t="shared" si="2"/>
      </c>
      <c r="T9" s="54">
        <f t="shared" si="3"/>
        <v>0</v>
      </c>
      <c r="U9" s="3"/>
      <c r="V9" s="3"/>
      <c r="W9" s="3"/>
    </row>
    <row r="10" spans="1:20" s="3" customFormat="1" ht="12.75" customHeight="1">
      <c r="A10" s="92">
        <v>3</v>
      </c>
      <c r="B10" s="89">
        <v>39001.333333333336</v>
      </c>
      <c r="C10" s="89">
        <v>39001.65138888889</v>
      </c>
      <c r="D10" s="81">
        <f>(C10-B10)*24</f>
        <v>7.633333333244082</v>
      </c>
      <c r="E10" s="144"/>
      <c r="F10" s="164">
        <v>105177</v>
      </c>
      <c r="G10" s="145"/>
      <c r="H10" s="86">
        <v>39001.65138888889</v>
      </c>
      <c r="I10" s="86">
        <v>39001.69236111111</v>
      </c>
      <c r="J10" s="81">
        <f>(I10-H10)*24</f>
        <v>0.9833333333954215</v>
      </c>
      <c r="K10" s="81">
        <f>(I10-H10)*24</f>
        <v>0.9833333333954215</v>
      </c>
      <c r="L10" s="146" t="s">
        <v>76</v>
      </c>
      <c r="M10" s="147" t="s">
        <v>76</v>
      </c>
      <c r="N10" s="147" t="s">
        <v>76</v>
      </c>
      <c r="O10" s="146" t="s">
        <v>26</v>
      </c>
      <c r="P10" s="148"/>
      <c r="Q10" s="82">
        <f t="shared" si="0"/>
        <v>1</v>
      </c>
      <c r="R10" s="82">
        <f t="shared" si="1"/>
      </c>
      <c r="S10" s="82">
        <f t="shared" si="2"/>
      </c>
      <c r="T10" s="83">
        <f t="shared" si="3"/>
        <v>1</v>
      </c>
    </row>
    <row r="11" spans="1:20" s="3" customFormat="1" ht="12.75" customHeight="1">
      <c r="A11" s="123">
        <v>5</v>
      </c>
      <c r="B11" s="126">
        <v>39001.69236111111</v>
      </c>
      <c r="C11" s="126">
        <v>39004.790972222225</v>
      </c>
      <c r="D11" s="75">
        <f>(C11-B11)*24</f>
        <v>74.36666666669771</v>
      </c>
      <c r="E11" s="132" t="s">
        <v>71</v>
      </c>
      <c r="F11" s="163">
        <v>105179</v>
      </c>
      <c r="G11" s="130"/>
      <c r="H11" s="121">
        <v>39004.790972222225</v>
      </c>
      <c r="I11" s="121">
        <v>39004.80416666667</v>
      </c>
      <c r="J11" s="75">
        <f>(I11-H11)*24</f>
        <v>0.3166666666511446</v>
      </c>
      <c r="K11" s="75">
        <f>(I11-H11)*24</f>
        <v>0.3166666666511446</v>
      </c>
      <c r="L11" s="133" t="s">
        <v>73</v>
      </c>
      <c r="M11" s="134" t="s">
        <v>73</v>
      </c>
      <c r="N11" s="134" t="s">
        <v>73</v>
      </c>
      <c r="O11" s="133" t="s">
        <v>26</v>
      </c>
      <c r="P11" s="131"/>
      <c r="Q11" s="82">
        <f t="shared" si="0"/>
        <v>1</v>
      </c>
      <c r="R11" s="82">
        <f t="shared" si="1"/>
      </c>
      <c r="S11" s="82">
        <f t="shared" si="2"/>
      </c>
      <c r="T11" s="83">
        <f t="shared" si="3"/>
        <v>1</v>
      </c>
    </row>
    <row r="12" spans="1:23" s="85" customFormat="1" ht="12.75">
      <c r="A12" s="92">
        <v>6</v>
      </c>
      <c r="B12" s="86">
        <v>39004.80416666667</v>
      </c>
      <c r="C12" s="86">
        <v>39005.138194444444</v>
      </c>
      <c r="D12" s="81">
        <f>(C12-B12)*24</f>
        <v>8.016666666604578</v>
      </c>
      <c r="E12" s="87" t="s">
        <v>72</v>
      </c>
      <c r="F12" s="88">
        <v>105180</v>
      </c>
      <c r="G12" s="89"/>
      <c r="H12" s="86">
        <v>39005.138194444444</v>
      </c>
      <c r="I12" s="86">
        <v>39005.26527777778</v>
      </c>
      <c r="J12" s="81">
        <f>(I12-H12)*24</f>
        <v>3.0499999999883585</v>
      </c>
      <c r="K12" s="81"/>
      <c r="L12" s="90"/>
      <c r="M12" s="90"/>
      <c r="N12" s="90"/>
      <c r="O12" s="91"/>
      <c r="P12" s="87"/>
      <c r="Q12" s="82">
        <f t="shared" si="0"/>
      </c>
      <c r="R12" s="82">
        <f t="shared" si="1"/>
      </c>
      <c r="S12" s="82">
        <f t="shared" si="2"/>
      </c>
      <c r="T12" s="83">
        <f t="shared" si="3"/>
        <v>0</v>
      </c>
      <c r="U12" s="84"/>
      <c r="V12" s="84"/>
      <c r="W12" s="84"/>
    </row>
    <row r="13" spans="1:23" s="85" customFormat="1" ht="12.75">
      <c r="A13" s="123"/>
      <c r="B13" s="121"/>
      <c r="C13" s="121"/>
      <c r="D13" s="75"/>
      <c r="E13" s="149"/>
      <c r="F13" s="150"/>
      <c r="G13" s="151"/>
      <c r="H13" s="152">
        <v>39005.138194444444</v>
      </c>
      <c r="I13" s="152">
        <v>39005.15902777778</v>
      </c>
      <c r="J13" s="153"/>
      <c r="K13" s="153">
        <f>(I13-H13)*24</f>
        <v>0.5000000000582077</v>
      </c>
      <c r="L13" s="154" t="s">
        <v>74</v>
      </c>
      <c r="M13" s="154" t="s">
        <v>74</v>
      </c>
      <c r="N13" s="154" t="s">
        <v>74</v>
      </c>
      <c r="O13" s="155" t="s">
        <v>26</v>
      </c>
      <c r="P13" s="149"/>
      <c r="Q13" s="82">
        <f t="shared" si="0"/>
        <v>1</v>
      </c>
      <c r="R13" s="82">
        <f t="shared" si="1"/>
      </c>
      <c r="S13" s="82">
        <f t="shared" si="2"/>
      </c>
      <c r="T13" s="83">
        <f t="shared" si="3"/>
        <v>1</v>
      </c>
      <c r="U13" s="84"/>
      <c r="V13" s="84"/>
      <c r="W13" s="84"/>
    </row>
    <row r="14" spans="1:23" s="85" customFormat="1" ht="12.75">
      <c r="A14" s="123"/>
      <c r="B14" s="121"/>
      <c r="C14" s="121"/>
      <c r="D14" s="75"/>
      <c r="E14" s="156"/>
      <c r="F14" s="157"/>
      <c r="G14" s="158"/>
      <c r="H14" s="159">
        <v>39005.15902777778</v>
      </c>
      <c r="I14" s="159">
        <v>39005.26527777778</v>
      </c>
      <c r="J14" s="160"/>
      <c r="K14" s="160">
        <f>(I14-H14)*24</f>
        <v>2.549999999930151</v>
      </c>
      <c r="L14" s="161" t="s">
        <v>64</v>
      </c>
      <c r="M14" s="161" t="s">
        <v>64</v>
      </c>
      <c r="N14" s="161" t="s">
        <v>64</v>
      </c>
      <c r="O14" s="162" t="s">
        <v>94</v>
      </c>
      <c r="P14" s="156" t="s">
        <v>75</v>
      </c>
      <c r="Q14" s="82">
        <f t="shared" si="0"/>
      </c>
      <c r="R14" s="82">
        <f t="shared" si="1"/>
      </c>
      <c r="S14" s="82">
        <f t="shared" si="2"/>
      </c>
      <c r="T14" s="83">
        <f>SUM(Q14:S14)</f>
        <v>0</v>
      </c>
      <c r="U14" s="84"/>
      <c r="V14" s="84"/>
      <c r="W14" s="84"/>
    </row>
    <row r="15" spans="1:23" s="76" customFormat="1" ht="12.75">
      <c r="A15" s="123">
        <v>7</v>
      </c>
      <c r="B15" s="121">
        <v>39005.26527777778</v>
      </c>
      <c r="C15" s="121">
        <v>39007.333333333336</v>
      </c>
      <c r="D15" s="75">
        <f>(C15-B15)*24</f>
        <v>49.633333333418705</v>
      </c>
      <c r="E15" s="124" t="s">
        <v>38</v>
      </c>
      <c r="F15" s="125"/>
      <c r="G15" s="126"/>
      <c r="H15" s="121"/>
      <c r="I15" s="121"/>
      <c r="J15" s="75">
        <f>(I15-H15)*24</f>
        <v>0</v>
      </c>
      <c r="K15" s="75">
        <f>(I15-H15)*24</f>
        <v>0</v>
      </c>
      <c r="L15" s="127" t="s">
        <v>24</v>
      </c>
      <c r="M15" s="127"/>
      <c r="N15" s="127"/>
      <c r="O15" s="128"/>
      <c r="P15" s="124"/>
      <c r="Q15" s="82">
        <f t="shared" si="0"/>
      </c>
      <c r="R15" s="82">
        <f t="shared" si="1"/>
        <v>1</v>
      </c>
      <c r="S15" s="82">
        <f t="shared" si="2"/>
      </c>
      <c r="T15" s="83">
        <f aca="true" t="shared" si="4" ref="T15:T41">SUM(Q15:S15)</f>
        <v>1</v>
      </c>
      <c r="U15" s="3"/>
      <c r="V15" s="3"/>
      <c r="W15" s="3"/>
    </row>
    <row r="16" spans="1:23" s="76" customFormat="1" ht="12.75">
      <c r="A16" s="66"/>
      <c r="B16" s="67"/>
      <c r="C16" s="67"/>
      <c r="D16" s="68">
        <f>SUM(D10:D15)</f>
        <v>139.64999999996508</v>
      </c>
      <c r="E16" s="69"/>
      <c r="F16" s="70"/>
      <c r="G16" s="71"/>
      <c r="H16" s="67"/>
      <c r="I16" s="67"/>
      <c r="J16" s="68">
        <f>SUM(J10:J15)</f>
        <v>4.350000000034925</v>
      </c>
      <c r="K16" s="68">
        <f>SUM(K10:K15)</f>
        <v>4.350000000034925</v>
      </c>
      <c r="L16" s="72"/>
      <c r="M16" s="73"/>
      <c r="N16" s="73"/>
      <c r="O16" s="74"/>
      <c r="P16" s="69"/>
      <c r="Q16" s="82">
        <f t="shared" si="0"/>
      </c>
      <c r="R16" s="82">
        <f t="shared" si="1"/>
      </c>
      <c r="S16" s="82">
        <f t="shared" si="2"/>
      </c>
      <c r="T16" s="83">
        <f t="shared" si="4"/>
        <v>0</v>
      </c>
      <c r="U16" s="3"/>
      <c r="V16" s="3"/>
      <c r="W16" s="3"/>
    </row>
    <row r="17" spans="1:23" s="76" customFormat="1" ht="12.75">
      <c r="A17" s="123">
        <v>8</v>
      </c>
      <c r="B17" s="121">
        <v>39008.333333333336</v>
      </c>
      <c r="C17" s="121">
        <v>39013.333333333336</v>
      </c>
      <c r="D17" s="75">
        <f>(C17-B17)*24</f>
        <v>120</v>
      </c>
      <c r="E17" s="124" t="s">
        <v>38</v>
      </c>
      <c r="F17" s="125"/>
      <c r="G17" s="126"/>
      <c r="H17" s="121"/>
      <c r="I17" s="121"/>
      <c r="J17" s="75">
        <f>(I17-H17)*24</f>
        <v>0</v>
      </c>
      <c r="K17" s="75">
        <f>(I17-H17)*24</f>
        <v>0</v>
      </c>
      <c r="L17" s="127" t="s">
        <v>24</v>
      </c>
      <c r="M17" s="127"/>
      <c r="N17" s="127"/>
      <c r="O17" s="128"/>
      <c r="P17" s="124"/>
      <c r="Q17" s="82">
        <f t="shared" si="0"/>
      </c>
      <c r="R17" s="82">
        <f t="shared" si="1"/>
        <v>1</v>
      </c>
      <c r="S17" s="82">
        <f t="shared" si="2"/>
      </c>
      <c r="T17" s="83">
        <f t="shared" si="4"/>
        <v>1</v>
      </c>
      <c r="U17" s="3"/>
      <c r="V17" s="3"/>
      <c r="W17" s="3"/>
    </row>
    <row r="18" spans="1:23" s="76" customFormat="1" ht="12.75">
      <c r="A18" s="66"/>
      <c r="B18" s="67"/>
      <c r="C18" s="67"/>
      <c r="D18" s="68">
        <f>SUM(D17:D17)</f>
        <v>120</v>
      </c>
      <c r="E18" s="69"/>
      <c r="F18" s="70"/>
      <c r="G18" s="71"/>
      <c r="H18" s="67"/>
      <c r="I18" s="67"/>
      <c r="J18" s="68">
        <f>SUM(J17:J17)</f>
        <v>0</v>
      </c>
      <c r="K18" s="68">
        <f>SUM(K17:K17)</f>
        <v>0</v>
      </c>
      <c r="L18" s="72"/>
      <c r="M18" s="73"/>
      <c r="N18" s="73"/>
      <c r="O18" s="74"/>
      <c r="P18" s="69"/>
      <c r="Q18" s="82">
        <f t="shared" si="0"/>
      </c>
      <c r="R18" s="82">
        <f t="shared" si="1"/>
      </c>
      <c r="S18" s="82">
        <f t="shared" si="2"/>
      </c>
      <c r="T18" s="83">
        <f t="shared" si="4"/>
        <v>0</v>
      </c>
      <c r="U18" s="3"/>
      <c r="V18" s="3"/>
      <c r="W18" s="3"/>
    </row>
    <row r="19" spans="1:23" s="76" customFormat="1" ht="12.75">
      <c r="A19" s="123">
        <v>9</v>
      </c>
      <c r="B19" s="121">
        <v>39015.333333333336</v>
      </c>
      <c r="C19" s="121">
        <v>39021.333333333336</v>
      </c>
      <c r="D19" s="75">
        <f>(C19-B19)*24+1</f>
        <v>145</v>
      </c>
      <c r="E19" s="124" t="s">
        <v>38</v>
      </c>
      <c r="F19" s="125"/>
      <c r="G19" s="126"/>
      <c r="H19" s="121"/>
      <c r="I19" s="121"/>
      <c r="J19" s="75">
        <f>(I19-H19)*24</f>
        <v>0</v>
      </c>
      <c r="K19" s="75">
        <f>(I19-H19)*24</f>
        <v>0</v>
      </c>
      <c r="L19" s="127" t="s">
        <v>24</v>
      </c>
      <c r="M19" s="127"/>
      <c r="N19" s="127"/>
      <c r="O19" s="128"/>
      <c r="P19" s="124"/>
      <c r="Q19" s="82">
        <f t="shared" si="0"/>
      </c>
      <c r="R19" s="82">
        <f t="shared" si="1"/>
        <v>1</v>
      </c>
      <c r="S19" s="82">
        <f t="shared" si="2"/>
      </c>
      <c r="T19" s="83">
        <f t="shared" si="4"/>
        <v>1</v>
      </c>
      <c r="U19" s="3"/>
      <c r="V19" s="3"/>
      <c r="W19" s="3"/>
    </row>
    <row r="20" spans="1:23" s="76" customFormat="1" ht="12.75">
      <c r="A20" s="66"/>
      <c r="B20" s="67"/>
      <c r="C20" s="67"/>
      <c r="D20" s="68">
        <f>SUM(D19:D19)</f>
        <v>145</v>
      </c>
      <c r="E20" s="69"/>
      <c r="F20" s="70"/>
      <c r="G20" s="71"/>
      <c r="H20" s="67"/>
      <c r="I20" s="67"/>
      <c r="J20" s="68">
        <f>SUM(J19:J19)</f>
        <v>0</v>
      </c>
      <c r="K20" s="68">
        <f>SUM(K19:K19)</f>
        <v>0</v>
      </c>
      <c r="L20" s="72"/>
      <c r="M20" s="73"/>
      <c r="N20" s="73"/>
      <c r="O20" s="74"/>
      <c r="P20" s="69"/>
      <c r="Q20" s="82">
        <f t="shared" si="0"/>
      </c>
      <c r="R20" s="82">
        <f t="shared" si="1"/>
      </c>
      <c r="S20" s="82">
        <f t="shared" si="2"/>
      </c>
      <c r="T20" s="83">
        <f t="shared" si="4"/>
        <v>0</v>
      </c>
      <c r="U20" s="3"/>
      <c r="V20" s="3"/>
      <c r="W20" s="3"/>
    </row>
    <row r="21" spans="1:20" s="3" customFormat="1" ht="12.75" customHeight="1">
      <c r="A21" s="92">
        <v>10</v>
      </c>
      <c r="B21" s="89">
        <v>39022.333333333336</v>
      </c>
      <c r="C21" s="89">
        <v>39024.868055555555</v>
      </c>
      <c r="D21" s="81">
        <f>(C21-B21)*24</f>
        <v>60.83333333325572</v>
      </c>
      <c r="E21" s="144" t="s">
        <v>77</v>
      </c>
      <c r="F21" s="164">
        <v>105193</v>
      </c>
      <c r="G21" s="145"/>
      <c r="H21" s="86">
        <v>39024.868055555555</v>
      </c>
      <c r="I21" s="86">
        <v>39024.88680555556</v>
      </c>
      <c r="J21" s="81">
        <f>(I21-H21)*24</f>
        <v>0.4500000000698492</v>
      </c>
      <c r="K21" s="81">
        <f>(I21-H21)*24</f>
        <v>0.4500000000698492</v>
      </c>
      <c r="L21" s="146" t="s">
        <v>39</v>
      </c>
      <c r="M21" s="147" t="s">
        <v>39</v>
      </c>
      <c r="N21" s="147" t="s">
        <v>39</v>
      </c>
      <c r="O21" s="146" t="s">
        <v>26</v>
      </c>
      <c r="P21" s="148"/>
      <c r="Q21" s="82">
        <f t="shared" si="0"/>
        <v>1</v>
      </c>
      <c r="R21" s="82">
        <f t="shared" si="1"/>
      </c>
      <c r="S21" s="82">
        <f t="shared" si="2"/>
      </c>
      <c r="T21" s="83">
        <f t="shared" si="4"/>
        <v>1</v>
      </c>
    </row>
    <row r="22" spans="1:20" s="3" customFormat="1" ht="12.75" customHeight="1">
      <c r="A22" s="123">
        <v>11</v>
      </c>
      <c r="B22" s="126">
        <v>39024.88680555556</v>
      </c>
      <c r="C22" s="126">
        <v>39025.04027777778</v>
      </c>
      <c r="D22" s="75">
        <f>(C22-B22)*24</f>
        <v>3.6833333332906477</v>
      </c>
      <c r="E22" s="132" t="s">
        <v>78</v>
      </c>
      <c r="F22" s="125">
        <v>105194</v>
      </c>
      <c r="G22" s="130"/>
      <c r="H22" s="121">
        <v>39025.04027777778</v>
      </c>
      <c r="I22" s="121">
        <v>39025.149305555555</v>
      </c>
      <c r="J22" s="75">
        <f>(I22-H22)*24</f>
        <v>2.616666666639503</v>
      </c>
      <c r="K22" s="75">
        <f>(I22-H22)*24</f>
        <v>2.616666666639503</v>
      </c>
      <c r="L22" s="133" t="s">
        <v>64</v>
      </c>
      <c r="M22" s="134" t="s">
        <v>64</v>
      </c>
      <c r="N22" s="134" t="s">
        <v>64</v>
      </c>
      <c r="O22" s="133" t="s">
        <v>26</v>
      </c>
      <c r="P22" s="131" t="s">
        <v>79</v>
      </c>
      <c r="Q22" s="82">
        <f t="shared" si="0"/>
        <v>1</v>
      </c>
      <c r="R22" s="82">
        <f t="shared" si="1"/>
      </c>
      <c r="S22" s="82">
        <f t="shared" si="2"/>
      </c>
      <c r="T22" s="83">
        <f t="shared" si="4"/>
        <v>1</v>
      </c>
    </row>
    <row r="23" spans="1:23" s="85" customFormat="1" ht="12.75">
      <c r="A23" s="92">
        <v>12</v>
      </c>
      <c r="B23" s="86">
        <v>39025.149305555555</v>
      </c>
      <c r="C23" s="86">
        <v>39026.1125</v>
      </c>
      <c r="D23" s="81">
        <f>(C23-B23)*24</f>
        <v>23.11666666675592</v>
      </c>
      <c r="E23" s="87" t="s">
        <v>78</v>
      </c>
      <c r="F23" s="88">
        <v>105195</v>
      </c>
      <c r="G23" s="89"/>
      <c r="H23" s="86">
        <v>39026.1125</v>
      </c>
      <c r="I23" s="86">
        <v>39026.15</v>
      </c>
      <c r="J23" s="81">
        <f>(I23-H23)*24</f>
        <v>0.8999999999650754</v>
      </c>
      <c r="K23" s="81">
        <f>(I23-H23)*24</f>
        <v>0.8999999999650754</v>
      </c>
      <c r="L23" s="90" t="s">
        <v>64</v>
      </c>
      <c r="M23" s="90" t="s">
        <v>64</v>
      </c>
      <c r="N23" s="90" t="s">
        <v>64</v>
      </c>
      <c r="O23" s="91" t="s">
        <v>26</v>
      </c>
      <c r="P23" s="87" t="s">
        <v>79</v>
      </c>
      <c r="Q23" s="82">
        <f t="shared" si="0"/>
        <v>1</v>
      </c>
      <c r="R23" s="82">
        <f t="shared" si="1"/>
      </c>
      <c r="S23" s="82">
        <f t="shared" si="2"/>
      </c>
      <c r="T23" s="83">
        <f t="shared" si="4"/>
        <v>1</v>
      </c>
      <c r="U23" s="84"/>
      <c r="V23" s="84"/>
      <c r="W23" s="84"/>
    </row>
    <row r="24" spans="1:23" s="76" customFormat="1" ht="12.75">
      <c r="A24" s="123">
        <v>13</v>
      </c>
      <c r="B24" s="121">
        <v>39026.15</v>
      </c>
      <c r="C24" s="121">
        <v>39028.333333333336</v>
      </c>
      <c r="D24" s="75">
        <f>(C24-B24)*24</f>
        <v>52.40000000002328</v>
      </c>
      <c r="E24" s="124" t="s">
        <v>38</v>
      </c>
      <c r="F24" s="125"/>
      <c r="G24" s="126"/>
      <c r="H24" s="121"/>
      <c r="I24" s="121"/>
      <c r="J24" s="75">
        <f>(I24-H24)*24</f>
        <v>0</v>
      </c>
      <c r="K24" s="75">
        <f>(I24-H24)*24</f>
        <v>0</v>
      </c>
      <c r="L24" s="127" t="s">
        <v>24</v>
      </c>
      <c r="M24" s="127"/>
      <c r="N24" s="127"/>
      <c r="O24" s="128"/>
      <c r="P24" s="124"/>
      <c r="Q24" s="82">
        <f t="shared" si="0"/>
      </c>
      <c r="R24" s="82">
        <f t="shared" si="1"/>
        <v>1</v>
      </c>
      <c r="S24" s="82">
        <f t="shared" si="2"/>
      </c>
      <c r="T24" s="83">
        <f t="shared" si="4"/>
        <v>1</v>
      </c>
      <c r="U24" s="3"/>
      <c r="V24" s="3"/>
      <c r="W24" s="3"/>
    </row>
    <row r="25" spans="1:23" s="76" customFormat="1" ht="12.75">
      <c r="A25" s="66"/>
      <c r="B25" s="67"/>
      <c r="C25" s="67"/>
      <c r="D25" s="68">
        <f>SUM(D21:D24)</f>
        <v>140.03333333332557</v>
      </c>
      <c r="E25" s="69"/>
      <c r="F25" s="70"/>
      <c r="G25" s="71"/>
      <c r="H25" s="67"/>
      <c r="I25" s="67"/>
      <c r="J25" s="68">
        <f>SUM(J21:J24)</f>
        <v>3.9666666666744277</v>
      </c>
      <c r="K25" s="68">
        <f>SUM(K21:K24)</f>
        <v>3.9666666666744277</v>
      </c>
      <c r="L25" s="72"/>
      <c r="M25" s="73"/>
      <c r="N25" s="73"/>
      <c r="O25" s="74"/>
      <c r="P25" s="69"/>
      <c r="Q25" s="82">
        <f t="shared" si="0"/>
      </c>
      <c r="R25" s="82">
        <f t="shared" si="1"/>
      </c>
      <c r="S25" s="82">
        <f t="shared" si="2"/>
      </c>
      <c r="T25" s="83">
        <f t="shared" si="4"/>
        <v>0</v>
      </c>
      <c r="U25" s="3"/>
      <c r="V25" s="3"/>
      <c r="W25" s="3"/>
    </row>
    <row r="26" spans="1:23" s="85" customFormat="1" ht="12.75">
      <c r="A26" s="92">
        <v>14</v>
      </c>
      <c r="B26" s="86">
        <v>39029.333333333336</v>
      </c>
      <c r="C26" s="86">
        <v>39029.46805555555</v>
      </c>
      <c r="D26" s="81">
        <f>(C26-B26)*24</f>
        <v>3.2333333332207985</v>
      </c>
      <c r="E26" s="87" t="s">
        <v>80</v>
      </c>
      <c r="F26" s="88">
        <v>105198</v>
      </c>
      <c r="G26" s="89"/>
      <c r="H26" s="86">
        <v>39029.46805555555</v>
      </c>
      <c r="I26" s="86">
        <v>39029.50486111111</v>
      </c>
      <c r="J26" s="81">
        <f>(I26-H26)*24</f>
        <v>0.8833333334187046</v>
      </c>
      <c r="K26" s="81">
        <f>(I26-H26)*24</f>
        <v>0.8833333334187046</v>
      </c>
      <c r="L26" s="90" t="s">
        <v>36</v>
      </c>
      <c r="M26" s="90" t="s">
        <v>36</v>
      </c>
      <c r="N26" s="90" t="s">
        <v>36</v>
      </c>
      <c r="O26" s="91" t="s">
        <v>26</v>
      </c>
      <c r="P26" s="87" t="s">
        <v>81</v>
      </c>
      <c r="Q26" s="82">
        <f t="shared" si="0"/>
        <v>1</v>
      </c>
      <c r="R26" s="82">
        <f t="shared" si="1"/>
      </c>
      <c r="S26" s="82">
        <f t="shared" si="2"/>
      </c>
      <c r="T26" s="83">
        <f t="shared" si="4"/>
        <v>1</v>
      </c>
      <c r="U26" s="84"/>
      <c r="V26" s="84"/>
      <c r="W26" s="84"/>
    </row>
    <row r="27" spans="1:23" s="76" customFormat="1" ht="12.75">
      <c r="A27" s="123">
        <v>15</v>
      </c>
      <c r="B27" s="121">
        <v>39029.50486111111</v>
      </c>
      <c r="C27" s="121">
        <v>39034.333333333336</v>
      </c>
      <c r="D27" s="75">
        <f>(C27-B27)*24</f>
        <v>115.8833333333605</v>
      </c>
      <c r="E27" s="124" t="s">
        <v>38</v>
      </c>
      <c r="F27" s="125"/>
      <c r="G27" s="126"/>
      <c r="H27" s="121"/>
      <c r="I27" s="121"/>
      <c r="J27" s="75">
        <f>(I27-H27)*24</f>
        <v>0</v>
      </c>
      <c r="K27" s="75">
        <f>(I27-H27)*24</f>
        <v>0</v>
      </c>
      <c r="L27" s="127" t="s">
        <v>24</v>
      </c>
      <c r="M27" s="127"/>
      <c r="N27" s="127"/>
      <c r="O27" s="128"/>
      <c r="P27" s="124"/>
      <c r="Q27" s="82">
        <f t="shared" si="0"/>
      </c>
      <c r="R27" s="82">
        <f t="shared" si="1"/>
        <v>1</v>
      </c>
      <c r="S27" s="82">
        <f t="shared" si="2"/>
      </c>
      <c r="T27" s="83">
        <f t="shared" si="4"/>
        <v>1</v>
      </c>
      <c r="U27" s="3"/>
      <c r="V27" s="3"/>
      <c r="W27" s="3"/>
    </row>
    <row r="28" spans="1:23" s="76" customFormat="1" ht="12.75">
      <c r="A28" s="66"/>
      <c r="B28" s="67"/>
      <c r="C28" s="67"/>
      <c r="D28" s="68">
        <f>SUM(D26:D27)</f>
        <v>119.1166666665813</v>
      </c>
      <c r="E28" s="69"/>
      <c r="F28" s="70"/>
      <c r="G28" s="71"/>
      <c r="H28" s="67"/>
      <c r="I28" s="67"/>
      <c r="J28" s="68">
        <f>SUM(J26:J27)</f>
        <v>0.8833333334187046</v>
      </c>
      <c r="K28" s="68">
        <f>SUM(K26:K27)</f>
        <v>0.8833333334187046</v>
      </c>
      <c r="L28" s="72"/>
      <c r="M28" s="73"/>
      <c r="N28" s="73"/>
      <c r="O28" s="74"/>
      <c r="P28" s="69"/>
      <c r="Q28" s="82">
        <f t="shared" si="0"/>
      </c>
      <c r="R28" s="82">
        <f t="shared" si="1"/>
      </c>
      <c r="S28" s="82">
        <f t="shared" si="2"/>
      </c>
      <c r="T28" s="83">
        <f t="shared" si="4"/>
        <v>0</v>
      </c>
      <c r="U28" s="3"/>
      <c r="V28" s="3"/>
      <c r="W28" s="3"/>
    </row>
    <row r="29" spans="1:20" s="3" customFormat="1" ht="12.75" customHeight="1">
      <c r="A29" s="92">
        <v>16</v>
      </c>
      <c r="B29" s="89">
        <v>39036.333333333336</v>
      </c>
      <c r="C29" s="89">
        <v>39037.00347222222</v>
      </c>
      <c r="D29" s="81">
        <f>(C29-B29)*24</f>
        <v>16.083333333197515</v>
      </c>
      <c r="E29" s="144" t="s">
        <v>82</v>
      </c>
      <c r="F29" s="164">
        <v>105200</v>
      </c>
      <c r="G29" s="145"/>
      <c r="H29" s="86">
        <v>39037.00347222222</v>
      </c>
      <c r="I29" s="86">
        <v>39037.020833333336</v>
      </c>
      <c r="J29" s="81">
        <f>(I29-H29)*24</f>
        <v>0.41666666680248454</v>
      </c>
      <c r="K29" s="81"/>
      <c r="L29" s="146"/>
      <c r="M29" s="147"/>
      <c r="N29" s="147"/>
      <c r="O29" s="146"/>
      <c r="P29" s="148"/>
      <c r="Q29" s="82">
        <f t="shared" si="0"/>
      </c>
      <c r="R29" s="82">
        <f t="shared" si="1"/>
      </c>
      <c r="S29" s="82">
        <f t="shared" si="2"/>
      </c>
      <c r="T29" s="83">
        <f t="shared" si="4"/>
        <v>0</v>
      </c>
    </row>
    <row r="30" spans="1:20" s="3" customFormat="1" ht="12.75" customHeight="1">
      <c r="A30" s="123"/>
      <c r="B30" s="121"/>
      <c r="C30" s="121"/>
      <c r="D30" s="75"/>
      <c r="E30" s="149"/>
      <c r="F30" s="150"/>
      <c r="G30" s="151"/>
      <c r="H30" s="152">
        <v>39037.00347222222</v>
      </c>
      <c r="I30" s="152">
        <v>39037.01180555556</v>
      </c>
      <c r="J30" s="153"/>
      <c r="K30" s="153">
        <f>(I30-H30)*24</f>
        <v>0.20000000012805685</v>
      </c>
      <c r="L30" s="154" t="s">
        <v>85</v>
      </c>
      <c r="M30" s="154" t="s">
        <v>85</v>
      </c>
      <c r="N30" s="154" t="s">
        <v>85</v>
      </c>
      <c r="O30" s="155" t="s">
        <v>26</v>
      </c>
      <c r="P30" s="149"/>
      <c r="Q30" s="82">
        <f t="shared" si="0"/>
        <v>1</v>
      </c>
      <c r="R30" s="82">
        <f t="shared" si="1"/>
      </c>
      <c r="S30" s="82">
        <f t="shared" si="2"/>
      </c>
      <c r="T30" s="83">
        <f t="shared" si="4"/>
        <v>1</v>
      </c>
    </row>
    <row r="31" spans="1:20" s="3" customFormat="1" ht="12.75" customHeight="1">
      <c r="A31" s="123"/>
      <c r="B31" s="121"/>
      <c r="C31" s="121"/>
      <c r="D31" s="75"/>
      <c r="E31" s="156"/>
      <c r="F31" s="157"/>
      <c r="G31" s="158"/>
      <c r="H31" s="159">
        <v>39037.01180555556</v>
      </c>
      <c r="I31" s="159">
        <v>39037.020833333336</v>
      </c>
      <c r="J31" s="160"/>
      <c r="K31" s="160">
        <f>(I31-H31)*24</f>
        <v>0.2166666666744277</v>
      </c>
      <c r="L31" s="161" t="s">
        <v>86</v>
      </c>
      <c r="M31" s="161" t="s">
        <v>86</v>
      </c>
      <c r="N31" s="161" t="s">
        <v>86</v>
      </c>
      <c r="O31" s="162" t="s">
        <v>94</v>
      </c>
      <c r="P31" s="156"/>
      <c r="Q31" s="82">
        <f t="shared" si="0"/>
      </c>
      <c r="R31" s="82">
        <f t="shared" si="1"/>
      </c>
      <c r="S31" s="82">
        <f t="shared" si="2"/>
      </c>
      <c r="T31" s="83">
        <f t="shared" si="4"/>
        <v>0</v>
      </c>
    </row>
    <row r="32" spans="1:20" s="3" customFormat="1" ht="12.75" customHeight="1">
      <c r="A32" s="123">
        <v>17</v>
      </c>
      <c r="B32" s="126">
        <v>39037.020833333336</v>
      </c>
      <c r="C32" s="126">
        <v>39037.22986111111</v>
      </c>
      <c r="D32" s="75">
        <f>(C32-B32)*24</f>
        <v>5.0166666666045785</v>
      </c>
      <c r="E32" s="132" t="s">
        <v>83</v>
      </c>
      <c r="F32" s="125">
        <v>105202</v>
      </c>
      <c r="G32" s="130"/>
      <c r="H32" s="121">
        <v>39037.22986111111</v>
      </c>
      <c r="I32" s="121">
        <v>39037.33541666667</v>
      </c>
      <c r="J32" s="75">
        <f>(I32-H32)*24</f>
        <v>2.53333333338378</v>
      </c>
      <c r="K32" s="75"/>
      <c r="L32" s="133"/>
      <c r="M32" s="134"/>
      <c r="N32" s="134"/>
      <c r="O32" s="133"/>
      <c r="P32" s="131"/>
      <c r="Q32" s="82">
        <f t="shared" si="0"/>
      </c>
      <c r="R32" s="82">
        <f t="shared" si="1"/>
      </c>
      <c r="S32" s="82">
        <f t="shared" si="2"/>
      </c>
      <c r="T32" s="83">
        <f t="shared" si="4"/>
        <v>0</v>
      </c>
    </row>
    <row r="33" spans="1:20" s="3" customFormat="1" ht="12.75" customHeight="1">
      <c r="A33" s="123"/>
      <c r="B33" s="121"/>
      <c r="C33" s="121"/>
      <c r="D33" s="75"/>
      <c r="E33" s="149"/>
      <c r="F33" s="150"/>
      <c r="G33" s="151"/>
      <c r="H33" s="152">
        <v>39037.22986111111</v>
      </c>
      <c r="I33" s="152">
        <v>39037.282638888886</v>
      </c>
      <c r="J33" s="153"/>
      <c r="K33" s="153">
        <f aca="true" t="shared" si="5" ref="K33:K38">(I33-H33)*24</f>
        <v>1.2666666666045785</v>
      </c>
      <c r="L33" s="154" t="s">
        <v>86</v>
      </c>
      <c r="M33" s="154" t="s">
        <v>86</v>
      </c>
      <c r="N33" s="154" t="s">
        <v>86</v>
      </c>
      <c r="O33" s="155" t="s">
        <v>26</v>
      </c>
      <c r="P33" s="149"/>
      <c r="Q33" s="82">
        <f t="shared" si="0"/>
        <v>1</v>
      </c>
      <c r="R33" s="82">
        <f t="shared" si="1"/>
      </c>
      <c r="S33" s="82">
        <f t="shared" si="2"/>
      </c>
      <c r="T33" s="83">
        <f t="shared" si="4"/>
        <v>1</v>
      </c>
    </row>
    <row r="34" spans="1:20" s="3" customFormat="1" ht="12.75" customHeight="1">
      <c r="A34" s="123"/>
      <c r="B34" s="121"/>
      <c r="C34" s="121"/>
      <c r="D34" s="75"/>
      <c r="E34" s="156"/>
      <c r="F34" s="157"/>
      <c r="G34" s="158"/>
      <c r="H34" s="159">
        <v>39037.282638888886</v>
      </c>
      <c r="I34" s="159">
        <v>39037.33541666667</v>
      </c>
      <c r="J34" s="160"/>
      <c r="K34" s="160">
        <f t="shared" si="5"/>
        <v>1.2666666667792015</v>
      </c>
      <c r="L34" s="161" t="s">
        <v>85</v>
      </c>
      <c r="M34" s="161" t="s">
        <v>85</v>
      </c>
      <c r="N34" s="161" t="s">
        <v>85</v>
      </c>
      <c r="O34" s="162" t="s">
        <v>94</v>
      </c>
      <c r="P34" s="156"/>
      <c r="Q34" s="82">
        <f t="shared" si="0"/>
      </c>
      <c r="R34" s="82">
        <f t="shared" si="1"/>
      </c>
      <c r="S34" s="82">
        <f t="shared" si="2"/>
      </c>
      <c r="T34" s="83">
        <f t="shared" si="4"/>
        <v>0</v>
      </c>
    </row>
    <row r="35" spans="1:23" s="85" customFormat="1" ht="12.75">
      <c r="A35" s="92">
        <v>19</v>
      </c>
      <c r="B35" s="89">
        <v>39037.33541666667</v>
      </c>
      <c r="C35" s="89">
        <v>39040.78472222222</v>
      </c>
      <c r="D35" s="81">
        <f>(C35-B35)*24</f>
        <v>82.78333333320916</v>
      </c>
      <c r="E35" s="144" t="s">
        <v>84</v>
      </c>
      <c r="F35" s="164">
        <v>105203</v>
      </c>
      <c r="G35" s="145"/>
      <c r="H35" s="86">
        <v>39040.78472222222</v>
      </c>
      <c r="I35" s="86">
        <v>39040.80138888889</v>
      </c>
      <c r="J35" s="81">
        <f>(I35-H35)*24</f>
        <v>0.4000000000814907</v>
      </c>
      <c r="K35" s="81">
        <f t="shared" si="5"/>
        <v>0.4000000000814907</v>
      </c>
      <c r="L35" s="146" t="s">
        <v>76</v>
      </c>
      <c r="M35" s="147" t="s">
        <v>76</v>
      </c>
      <c r="N35" s="147" t="s">
        <v>76</v>
      </c>
      <c r="O35" s="146" t="s">
        <v>26</v>
      </c>
      <c r="P35" s="148"/>
      <c r="Q35" s="82">
        <f t="shared" si="0"/>
        <v>1</v>
      </c>
      <c r="R35" s="82">
        <f t="shared" si="1"/>
      </c>
      <c r="S35" s="82">
        <f t="shared" si="2"/>
      </c>
      <c r="T35" s="83">
        <f t="shared" si="4"/>
        <v>1</v>
      </c>
      <c r="U35" s="84"/>
      <c r="V35" s="84"/>
      <c r="W35" s="84"/>
    </row>
    <row r="36" spans="1:23" s="76" customFormat="1" ht="12.75">
      <c r="A36" s="123">
        <v>20</v>
      </c>
      <c r="B36" s="126">
        <v>39040.80138888889</v>
      </c>
      <c r="C36" s="126">
        <v>39041.566666666666</v>
      </c>
      <c r="D36" s="75">
        <f>(C36-B36)*24</f>
        <v>18.366666666639503</v>
      </c>
      <c r="E36" s="132" t="s">
        <v>84</v>
      </c>
      <c r="F36" s="125">
        <v>105205</v>
      </c>
      <c r="G36" s="130"/>
      <c r="H36" s="121">
        <v>39041.566666666666</v>
      </c>
      <c r="I36" s="121">
        <v>39041.59375</v>
      </c>
      <c r="J36" s="75">
        <f>(I36-H36)*24</f>
        <v>0.6500000000232831</v>
      </c>
      <c r="K36" s="75">
        <f t="shared" si="5"/>
        <v>0.6500000000232831</v>
      </c>
      <c r="L36" s="133" t="s">
        <v>76</v>
      </c>
      <c r="M36" s="134" t="s">
        <v>76</v>
      </c>
      <c r="N36" s="134" t="s">
        <v>76</v>
      </c>
      <c r="O36" s="133" t="s">
        <v>26</v>
      </c>
      <c r="P36" s="131"/>
      <c r="Q36" s="82">
        <f t="shared" si="0"/>
        <v>1</v>
      </c>
      <c r="R36" s="82">
        <f t="shared" si="1"/>
      </c>
      <c r="S36" s="82">
        <f t="shared" si="2"/>
      </c>
      <c r="T36" s="83">
        <f t="shared" si="4"/>
        <v>1</v>
      </c>
      <c r="U36" s="3"/>
      <c r="V36" s="3"/>
      <c r="W36" s="3"/>
    </row>
    <row r="37" spans="1:23" s="76" customFormat="1" ht="12.75">
      <c r="A37" s="92">
        <v>21</v>
      </c>
      <c r="B37" s="86">
        <v>39041.59375</v>
      </c>
      <c r="C37" s="86">
        <v>39042.03472222222</v>
      </c>
      <c r="D37" s="81">
        <f>(C37-B37)*24</f>
        <v>10.583333333255723</v>
      </c>
      <c r="E37" s="87" t="s">
        <v>84</v>
      </c>
      <c r="F37" s="88">
        <v>105206</v>
      </c>
      <c r="G37" s="89"/>
      <c r="H37" s="86">
        <v>39042.03472222222</v>
      </c>
      <c r="I37" s="86">
        <v>39042.04583333333</v>
      </c>
      <c r="J37" s="81">
        <f>(I37-H37)*24</f>
        <v>0.26666666666278616</v>
      </c>
      <c r="K37" s="81">
        <f t="shared" si="5"/>
        <v>0.26666666666278616</v>
      </c>
      <c r="L37" s="90" t="s">
        <v>76</v>
      </c>
      <c r="M37" s="90" t="s">
        <v>76</v>
      </c>
      <c r="N37" s="90" t="s">
        <v>76</v>
      </c>
      <c r="O37" s="146" t="s">
        <v>26</v>
      </c>
      <c r="P37" s="87"/>
      <c r="Q37" s="82">
        <f t="shared" si="0"/>
        <v>1</v>
      </c>
      <c r="R37" s="82">
        <f t="shared" si="1"/>
      </c>
      <c r="S37" s="82">
        <f t="shared" si="2"/>
      </c>
      <c r="T37" s="83">
        <f t="shared" si="4"/>
        <v>1</v>
      </c>
      <c r="U37" s="3"/>
      <c r="V37" s="3"/>
      <c r="W37" s="3"/>
    </row>
    <row r="38" spans="1:23" s="76" customFormat="1" ht="12.75">
      <c r="A38" s="123">
        <v>22</v>
      </c>
      <c r="B38" s="121">
        <v>39042.04583333333</v>
      </c>
      <c r="C38" s="121">
        <v>39044</v>
      </c>
      <c r="D38" s="75">
        <f>(C38-B38)*24</f>
        <v>46.90000000008149</v>
      </c>
      <c r="E38" s="124" t="s">
        <v>38</v>
      </c>
      <c r="F38" s="125"/>
      <c r="G38" s="126"/>
      <c r="H38" s="121"/>
      <c r="I38" s="121"/>
      <c r="J38" s="75">
        <f>(I38-H38)*24</f>
        <v>0</v>
      </c>
      <c r="K38" s="75">
        <f t="shared" si="5"/>
        <v>0</v>
      </c>
      <c r="L38" s="127" t="s">
        <v>24</v>
      </c>
      <c r="M38" s="127"/>
      <c r="N38" s="127"/>
      <c r="O38" s="128"/>
      <c r="P38" s="124"/>
      <c r="Q38" s="82">
        <f t="shared" si="0"/>
      </c>
      <c r="R38" s="82">
        <f t="shared" si="1"/>
        <v>1</v>
      </c>
      <c r="S38" s="82">
        <f t="shared" si="2"/>
      </c>
      <c r="T38" s="83">
        <f t="shared" si="4"/>
        <v>1</v>
      </c>
      <c r="U38" s="3"/>
      <c r="V38" s="3"/>
      <c r="W38" s="3"/>
    </row>
    <row r="39" spans="1:23" s="76" customFormat="1" ht="12.75">
      <c r="A39" s="66"/>
      <c r="B39" s="67"/>
      <c r="C39" s="67"/>
      <c r="D39" s="68">
        <f>SUM(D29:D38)</f>
        <v>179.73333333298797</v>
      </c>
      <c r="E39" s="69"/>
      <c r="F39" s="70"/>
      <c r="G39" s="71"/>
      <c r="H39" s="67"/>
      <c r="I39" s="67"/>
      <c r="J39" s="68">
        <f>SUM(J29:J38)</f>
        <v>4.2666666669538245</v>
      </c>
      <c r="K39" s="68">
        <f>SUM(K29:K38)</f>
        <v>4.2666666669538245</v>
      </c>
      <c r="L39" s="72"/>
      <c r="M39" s="73"/>
      <c r="N39" s="73"/>
      <c r="O39" s="74"/>
      <c r="P39" s="69"/>
      <c r="Q39" s="82">
        <f t="shared" si="0"/>
      </c>
      <c r="R39" s="82">
        <f t="shared" si="1"/>
      </c>
      <c r="S39" s="82">
        <f t="shared" si="2"/>
      </c>
      <c r="T39" s="83">
        <f t="shared" si="4"/>
        <v>0</v>
      </c>
      <c r="U39" s="3"/>
      <c r="V39" s="3"/>
      <c r="W39" s="3"/>
    </row>
    <row r="40" spans="1:20" ht="12.75">
      <c r="A40" s="123">
        <v>23</v>
      </c>
      <c r="B40" s="121">
        <v>39045.333333333336</v>
      </c>
      <c r="C40" s="121">
        <v>39049.333333333336</v>
      </c>
      <c r="D40" s="75">
        <f>(C40-B40)*24</f>
        <v>96</v>
      </c>
      <c r="E40" s="124" t="s">
        <v>38</v>
      </c>
      <c r="F40" s="125"/>
      <c r="G40" s="126"/>
      <c r="H40" s="121"/>
      <c r="I40" s="121"/>
      <c r="J40" s="75">
        <f>(I40-H40)*24</f>
        <v>0</v>
      </c>
      <c r="K40" s="75">
        <f>(I40-H40)*24</f>
        <v>0</v>
      </c>
      <c r="L40" s="127" t="s">
        <v>24</v>
      </c>
      <c r="M40" s="127"/>
      <c r="N40" s="127"/>
      <c r="O40" s="128"/>
      <c r="P40" s="124"/>
      <c r="Q40" s="82">
        <f t="shared" si="0"/>
      </c>
      <c r="R40" s="82">
        <f t="shared" si="1"/>
        <v>1</v>
      </c>
      <c r="S40" s="82">
        <f t="shared" si="2"/>
      </c>
      <c r="T40" s="83">
        <f t="shared" si="4"/>
        <v>1</v>
      </c>
    </row>
    <row r="41" spans="1:20" ht="12.75">
      <c r="A41" s="66"/>
      <c r="B41" s="67"/>
      <c r="C41" s="67"/>
      <c r="D41" s="68">
        <f>SUM(D40:D40)</f>
        <v>96</v>
      </c>
      <c r="E41" s="69"/>
      <c r="F41" s="70"/>
      <c r="G41" s="71"/>
      <c r="H41" s="67"/>
      <c r="I41" s="67"/>
      <c r="J41" s="68">
        <f>SUM(J40:J40)</f>
        <v>0</v>
      </c>
      <c r="K41" s="68">
        <f>SUM(K40:K40)</f>
        <v>0</v>
      </c>
      <c r="L41" s="72"/>
      <c r="M41" s="73"/>
      <c r="N41" s="73"/>
      <c r="O41" s="74"/>
      <c r="P41" s="69"/>
      <c r="Q41" s="82">
        <f t="shared" si="0"/>
      </c>
      <c r="R41" s="82">
        <f t="shared" si="1"/>
      </c>
      <c r="S41" s="82">
        <f t="shared" si="2"/>
      </c>
      <c r="T41" s="83">
        <f t="shared" si="4"/>
        <v>0</v>
      </c>
    </row>
    <row r="42" spans="1:23" s="85" customFormat="1" ht="12.75">
      <c r="A42" s="92">
        <v>24</v>
      </c>
      <c r="B42" s="86">
        <v>39050.333333333336</v>
      </c>
      <c r="C42" s="86">
        <v>39054.978472222225</v>
      </c>
      <c r="D42" s="81">
        <f>(C42-B42)*24</f>
        <v>111.48333333333721</v>
      </c>
      <c r="E42" s="144" t="s">
        <v>84</v>
      </c>
      <c r="F42" s="88">
        <v>105209</v>
      </c>
      <c r="G42" s="89"/>
      <c r="H42" s="86">
        <v>39054.978472222225</v>
      </c>
      <c r="I42" s="86">
        <v>39054.99444444444</v>
      </c>
      <c r="J42" s="81">
        <f>(I42-H42)*24</f>
        <v>0.3833333331858739</v>
      </c>
      <c r="K42" s="81">
        <f>(I42-H42)*24</f>
        <v>0.3833333331858739</v>
      </c>
      <c r="L42" s="90" t="s">
        <v>76</v>
      </c>
      <c r="M42" s="90" t="s">
        <v>76</v>
      </c>
      <c r="N42" s="90" t="s">
        <v>76</v>
      </c>
      <c r="O42" s="91" t="s">
        <v>26</v>
      </c>
      <c r="P42" s="87"/>
      <c r="Q42" s="82">
        <f t="shared" si="0"/>
        <v>1</v>
      </c>
      <c r="R42" s="82">
        <f t="shared" si="1"/>
      </c>
      <c r="S42" s="82">
        <f t="shared" si="2"/>
      </c>
      <c r="T42" s="83">
        <f>SUM(Q42:S42)</f>
        <v>1</v>
      </c>
      <c r="U42" s="84"/>
      <c r="V42" s="84"/>
      <c r="W42" s="84"/>
    </row>
    <row r="43" spans="1:23" s="76" customFormat="1" ht="12.75">
      <c r="A43" s="123">
        <v>25</v>
      </c>
      <c r="B43" s="121">
        <v>39054.99444444444</v>
      </c>
      <c r="C43" s="121">
        <v>39056.333333333336</v>
      </c>
      <c r="D43" s="75">
        <f>(C43-B43)*24</f>
        <v>32.13333333347691</v>
      </c>
      <c r="E43" s="124" t="s">
        <v>38</v>
      </c>
      <c r="F43" s="125"/>
      <c r="G43" s="126"/>
      <c r="H43" s="121"/>
      <c r="I43" s="121"/>
      <c r="J43" s="75">
        <f>(I43-H43)*24</f>
        <v>0</v>
      </c>
      <c r="K43" s="75">
        <f>(I43-H43)*24</f>
        <v>0</v>
      </c>
      <c r="L43" s="127" t="s">
        <v>24</v>
      </c>
      <c r="M43" s="127"/>
      <c r="N43" s="127"/>
      <c r="O43" s="128"/>
      <c r="P43" s="124"/>
      <c r="Q43" s="82">
        <f t="shared" si="0"/>
      </c>
      <c r="R43" s="82">
        <f t="shared" si="1"/>
        <v>1</v>
      </c>
      <c r="S43" s="82">
        <f t="shared" si="2"/>
      </c>
      <c r="T43" s="83">
        <f>SUM(Q43:S43)</f>
        <v>1</v>
      </c>
      <c r="U43" s="3"/>
      <c r="V43" s="3"/>
      <c r="W43" s="3"/>
    </row>
    <row r="44" spans="1:23" s="76" customFormat="1" ht="12.75">
      <c r="A44" s="66"/>
      <c r="B44" s="67"/>
      <c r="C44" s="67"/>
      <c r="D44" s="68">
        <f>SUM(D42:D43)</f>
        <v>143.61666666681413</v>
      </c>
      <c r="E44" s="69"/>
      <c r="F44" s="70"/>
      <c r="G44" s="71"/>
      <c r="H44" s="67"/>
      <c r="I44" s="67"/>
      <c r="J44" s="68">
        <f>SUM(J42:J43)</f>
        <v>0.3833333331858739</v>
      </c>
      <c r="K44" s="68">
        <f>SUM(K42:K43)</f>
        <v>0.3833333331858739</v>
      </c>
      <c r="L44" s="72"/>
      <c r="M44" s="73"/>
      <c r="N44" s="73"/>
      <c r="O44" s="74"/>
      <c r="P44" s="69"/>
      <c r="Q44" s="82">
        <f t="shared" si="0"/>
      </c>
      <c r="R44" s="82">
        <f t="shared" si="1"/>
      </c>
      <c r="S44" s="82">
        <f t="shared" si="2"/>
      </c>
      <c r="T44" s="83">
        <f>SUM(Q44:S44)</f>
        <v>0</v>
      </c>
      <c r="U44" s="3"/>
      <c r="V44" s="3"/>
      <c r="W44" s="3"/>
    </row>
    <row r="45" spans="1:20" ht="12.75">
      <c r="A45" s="123">
        <v>26</v>
      </c>
      <c r="B45" s="121">
        <v>39057.333333333336</v>
      </c>
      <c r="C45" s="121">
        <v>39063.333333333336</v>
      </c>
      <c r="D45" s="75">
        <f>(C45-B45)*24</f>
        <v>144</v>
      </c>
      <c r="E45" s="124" t="s">
        <v>38</v>
      </c>
      <c r="F45" s="125"/>
      <c r="G45" s="126"/>
      <c r="H45" s="121"/>
      <c r="I45" s="121"/>
      <c r="J45" s="75">
        <f>(I45-H45)*24</f>
        <v>0</v>
      </c>
      <c r="K45" s="75">
        <f>(I45-H45)*24</f>
        <v>0</v>
      </c>
      <c r="L45" s="127" t="s">
        <v>24</v>
      </c>
      <c r="M45" s="127"/>
      <c r="N45" s="127"/>
      <c r="O45" s="128"/>
      <c r="P45" s="124"/>
      <c r="Q45" s="82">
        <f t="shared" si="0"/>
      </c>
      <c r="R45" s="82">
        <f t="shared" si="1"/>
        <v>1</v>
      </c>
      <c r="S45" s="82">
        <f t="shared" si="2"/>
      </c>
      <c r="T45" s="83">
        <f>SUM(Q45:S45)</f>
        <v>1</v>
      </c>
    </row>
    <row r="46" spans="1:20" ht="12.75">
      <c r="A46" s="66"/>
      <c r="B46" s="67"/>
      <c r="C46" s="67"/>
      <c r="D46" s="68">
        <f>SUM(D45:D45)</f>
        <v>144</v>
      </c>
      <c r="E46" s="69"/>
      <c r="F46" s="70"/>
      <c r="G46" s="71"/>
      <c r="H46" s="67"/>
      <c r="I46" s="67"/>
      <c r="J46" s="68">
        <f>SUM(J45:J45)</f>
        <v>0</v>
      </c>
      <c r="K46" s="68">
        <f>SUM(K45:K45)</f>
        <v>0</v>
      </c>
      <c r="L46" s="72"/>
      <c r="M46" s="73"/>
      <c r="N46" s="73"/>
      <c r="O46" s="74"/>
      <c r="P46" s="69"/>
      <c r="Q46" s="82">
        <f t="shared" si="0"/>
      </c>
      <c r="R46" s="82">
        <f t="shared" si="1"/>
      </c>
      <c r="S46" s="82">
        <f t="shared" si="2"/>
      </c>
      <c r="T46" s="83">
        <f>SUM(Q46:S46)</f>
        <v>0</v>
      </c>
    </row>
    <row r="47" spans="1:20" s="3" customFormat="1" ht="12.75" customHeight="1">
      <c r="A47" s="92">
        <v>27</v>
      </c>
      <c r="B47" s="89">
        <v>39064.333333333336</v>
      </c>
      <c r="C47" s="89">
        <v>39066.5375</v>
      </c>
      <c r="D47" s="81">
        <f>(C47-B47)*24</f>
        <v>52.89999999990687</v>
      </c>
      <c r="E47" s="144" t="s">
        <v>87</v>
      </c>
      <c r="F47" s="164">
        <v>105211</v>
      </c>
      <c r="G47" s="145"/>
      <c r="H47" s="86">
        <v>39066.5375</v>
      </c>
      <c r="I47" s="86">
        <v>39066.65</v>
      </c>
      <c r="J47" s="81">
        <f>(I47-H47)*24</f>
        <v>2.700000000069849</v>
      </c>
      <c r="K47" s="81">
        <f>(I47-H47)*24</f>
        <v>2.700000000069849</v>
      </c>
      <c r="L47" s="146" t="s">
        <v>92</v>
      </c>
      <c r="M47" s="147" t="s">
        <v>92</v>
      </c>
      <c r="N47" s="147" t="s">
        <v>92</v>
      </c>
      <c r="O47" s="146" t="s">
        <v>26</v>
      </c>
      <c r="P47" s="148"/>
      <c r="Q47" s="82">
        <f t="shared" si="0"/>
        <v>1</v>
      </c>
      <c r="R47" s="82">
        <f t="shared" si="1"/>
      </c>
      <c r="S47" s="82">
        <f t="shared" si="2"/>
      </c>
      <c r="T47" s="83">
        <f aca="true" t="shared" si="6" ref="T47:T53">SUM(Q47:S47)</f>
        <v>1</v>
      </c>
    </row>
    <row r="48" spans="1:20" s="3" customFormat="1" ht="12.75" customHeight="1">
      <c r="A48" s="123">
        <v>28</v>
      </c>
      <c r="B48" s="126">
        <v>39066.65</v>
      </c>
      <c r="C48" s="126">
        <v>39069.75</v>
      </c>
      <c r="D48" s="75">
        <f>(C48-B48)*24</f>
        <v>74.39999999996508</v>
      </c>
      <c r="E48" s="132" t="s">
        <v>88</v>
      </c>
      <c r="F48" s="125">
        <v>105212</v>
      </c>
      <c r="G48" s="130"/>
      <c r="H48" s="121">
        <v>39069.75</v>
      </c>
      <c r="I48" s="121">
        <v>39069.81319444445</v>
      </c>
      <c r="J48" s="75">
        <f>(I48-H48)*24</f>
        <v>1.5166666667209938</v>
      </c>
      <c r="K48" s="75"/>
      <c r="L48" s="133"/>
      <c r="M48" s="134"/>
      <c r="N48" s="134"/>
      <c r="O48" s="133"/>
      <c r="P48" s="131" t="s">
        <v>90</v>
      </c>
      <c r="Q48" s="82">
        <f t="shared" si="0"/>
      </c>
      <c r="R48" s="82">
        <f t="shared" si="1"/>
      </c>
      <c r="S48" s="82">
        <f t="shared" si="2"/>
      </c>
      <c r="T48" s="83">
        <f t="shared" si="6"/>
        <v>0</v>
      </c>
    </row>
    <row r="49" spans="1:20" s="3" customFormat="1" ht="12.75" customHeight="1">
      <c r="A49" s="123"/>
      <c r="B49" s="121"/>
      <c r="C49" s="121"/>
      <c r="D49" s="75"/>
      <c r="E49" s="149"/>
      <c r="F49" s="150"/>
      <c r="G49" s="151"/>
      <c r="H49" s="152">
        <v>39069.75</v>
      </c>
      <c r="I49" s="152">
        <v>39069.770833333336</v>
      </c>
      <c r="J49" s="153"/>
      <c r="K49" s="153">
        <f>(I49-H49)*24</f>
        <v>0.5000000000582077</v>
      </c>
      <c r="L49" s="154" t="s">
        <v>39</v>
      </c>
      <c r="M49" s="154" t="s">
        <v>39</v>
      </c>
      <c r="N49" s="154" t="s">
        <v>39</v>
      </c>
      <c r="O49" s="155" t="s">
        <v>26</v>
      </c>
      <c r="P49" s="149"/>
      <c r="Q49" s="82">
        <f t="shared" si="0"/>
        <v>1</v>
      </c>
      <c r="R49" s="82">
        <f t="shared" si="1"/>
      </c>
      <c r="S49" s="82">
        <f t="shared" si="2"/>
      </c>
      <c r="T49" s="83">
        <f t="shared" si="6"/>
        <v>1</v>
      </c>
    </row>
    <row r="50" spans="1:20" s="3" customFormat="1" ht="12.75" customHeight="1">
      <c r="A50" s="123"/>
      <c r="B50" s="121"/>
      <c r="C50" s="121"/>
      <c r="D50" s="75"/>
      <c r="E50" s="156"/>
      <c r="F50" s="157"/>
      <c r="G50" s="158"/>
      <c r="H50" s="159">
        <v>39069.770833333336</v>
      </c>
      <c r="I50" s="159">
        <v>39069.81319444445</v>
      </c>
      <c r="J50" s="160"/>
      <c r="K50" s="160">
        <f>(I50-H50)*24</f>
        <v>1.0166666666627862</v>
      </c>
      <c r="L50" s="161" t="s">
        <v>85</v>
      </c>
      <c r="M50" s="161" t="s">
        <v>85</v>
      </c>
      <c r="N50" s="161" t="s">
        <v>85</v>
      </c>
      <c r="O50" s="162" t="s">
        <v>94</v>
      </c>
      <c r="P50" s="156"/>
      <c r="Q50" s="82">
        <f t="shared" si="0"/>
      </c>
      <c r="R50" s="82">
        <f t="shared" si="1"/>
      </c>
      <c r="S50" s="82">
        <f t="shared" si="2"/>
      </c>
      <c r="T50" s="83">
        <f t="shared" si="6"/>
        <v>0</v>
      </c>
    </row>
    <row r="51" spans="1:23" s="85" customFormat="1" ht="12.75">
      <c r="A51" s="92">
        <v>29</v>
      </c>
      <c r="B51" s="86">
        <v>39069.81319444445</v>
      </c>
      <c r="C51" s="86">
        <v>39070.1875</v>
      </c>
      <c r="D51" s="81">
        <f>(C51-B51)*24</f>
        <v>8.983333333279006</v>
      </c>
      <c r="E51" s="87" t="s">
        <v>89</v>
      </c>
      <c r="F51" s="88">
        <v>105213</v>
      </c>
      <c r="G51" s="89"/>
      <c r="H51" s="86">
        <v>39070.1875</v>
      </c>
      <c r="I51" s="86">
        <v>39070.28333333333</v>
      </c>
      <c r="J51" s="81">
        <f>(I51-H51)*24</f>
        <v>2.2999999999883585</v>
      </c>
      <c r="K51" s="81">
        <f>(I51-H51)*24</f>
        <v>2.2999999999883585</v>
      </c>
      <c r="L51" s="90" t="s">
        <v>39</v>
      </c>
      <c r="M51" s="90" t="s">
        <v>39</v>
      </c>
      <c r="N51" s="90" t="s">
        <v>39</v>
      </c>
      <c r="O51" s="91" t="s">
        <v>26</v>
      </c>
      <c r="P51" s="87" t="s">
        <v>91</v>
      </c>
      <c r="Q51" s="82">
        <f t="shared" si="0"/>
        <v>1</v>
      </c>
      <c r="R51" s="82">
        <f t="shared" si="1"/>
      </c>
      <c r="S51" s="82">
        <f t="shared" si="2"/>
      </c>
      <c r="T51" s="83">
        <f t="shared" si="6"/>
        <v>1</v>
      </c>
      <c r="U51" s="84"/>
      <c r="V51" s="84"/>
      <c r="W51" s="84"/>
    </row>
    <row r="52" spans="1:23" s="76" customFormat="1" ht="12.75">
      <c r="A52" s="123">
        <v>30</v>
      </c>
      <c r="B52" s="121">
        <v>39070.28333333333</v>
      </c>
      <c r="C52" s="121">
        <v>39071.00347222222</v>
      </c>
      <c r="D52" s="75">
        <f>(C52-B52)*24</f>
        <v>17.283333333267365</v>
      </c>
      <c r="E52" s="124" t="s">
        <v>38</v>
      </c>
      <c r="F52" s="125"/>
      <c r="G52" s="126"/>
      <c r="H52" s="121"/>
      <c r="I52" s="121"/>
      <c r="J52" s="75">
        <f>(I52-H52)*24</f>
        <v>0</v>
      </c>
      <c r="K52" s="75">
        <f>(I52-H52)*24</f>
        <v>0</v>
      </c>
      <c r="L52" s="127" t="s">
        <v>24</v>
      </c>
      <c r="M52" s="127"/>
      <c r="N52" s="127"/>
      <c r="O52" s="128"/>
      <c r="P52" s="124"/>
      <c r="Q52" s="82">
        <f t="shared" si="0"/>
      </c>
      <c r="R52" s="82">
        <f t="shared" si="1"/>
        <v>1</v>
      </c>
      <c r="S52" s="82">
        <f t="shared" si="2"/>
      </c>
      <c r="T52" s="83">
        <f t="shared" si="6"/>
        <v>1</v>
      </c>
      <c r="U52" s="3"/>
      <c r="V52" s="3"/>
      <c r="W52" s="3"/>
    </row>
    <row r="53" spans="1:23" s="76" customFormat="1" ht="12.75">
      <c r="A53" s="66"/>
      <c r="B53" s="67"/>
      <c r="C53" s="67"/>
      <c r="D53" s="68">
        <f>SUM(D47:D52)</f>
        <v>153.5666666664183</v>
      </c>
      <c r="E53" s="69"/>
      <c r="F53" s="70"/>
      <c r="G53" s="71"/>
      <c r="H53" s="67"/>
      <c r="I53" s="67"/>
      <c r="J53" s="68">
        <f>SUM(J47:J52)</f>
        <v>6.5166666667792015</v>
      </c>
      <c r="K53" s="68">
        <f>SUM(K47:K52)</f>
        <v>6.5166666667792015</v>
      </c>
      <c r="L53" s="72"/>
      <c r="M53" s="73"/>
      <c r="N53" s="73"/>
      <c r="O53" s="74"/>
      <c r="P53" s="69"/>
      <c r="Q53" s="82">
        <f t="shared" si="0"/>
      </c>
      <c r="R53" s="82">
        <f t="shared" si="1"/>
      </c>
      <c r="S53" s="82">
        <f t="shared" si="2"/>
      </c>
      <c r="T53" s="83">
        <f t="shared" si="6"/>
        <v>0</v>
      </c>
      <c r="U53" s="3"/>
      <c r="V53" s="3"/>
      <c r="W53" s="3"/>
    </row>
    <row r="54" spans="1:18" ht="14.25" customHeight="1">
      <c r="A54" s="29"/>
      <c r="B54" s="16"/>
      <c r="C54" s="16"/>
      <c r="D54" s="77"/>
      <c r="E54" s="14"/>
      <c r="F54" s="50"/>
      <c r="G54" s="48"/>
      <c r="K54" s="20"/>
      <c r="Q54" s="82">
        <f>IF($O54="Store Lost",1,"")</f>
      </c>
      <c r="R54" s="1">
        <f>IF($P55="Store Lost",1,"")</f>
      </c>
    </row>
    <row r="55" spans="1:18" ht="12.75">
      <c r="A55" s="29"/>
      <c r="B55" s="16"/>
      <c r="C55" s="16"/>
      <c r="D55" s="7"/>
      <c r="E55" s="14"/>
      <c r="F55" s="50"/>
      <c r="G55" s="48"/>
      <c r="K55" s="20"/>
      <c r="Q55" s="8"/>
      <c r="R55" s="1">
        <f>IF($P56="Store Lost",1,"")</f>
      </c>
    </row>
    <row r="56" spans="1:18" ht="12.75">
      <c r="A56" s="29"/>
      <c r="B56" s="16"/>
      <c r="C56" s="13" t="s">
        <v>15</v>
      </c>
      <c r="D56" s="40">
        <f>Q58</f>
        <v>17</v>
      </c>
      <c r="E56" s="14"/>
      <c r="F56" s="50"/>
      <c r="G56" s="48"/>
      <c r="H56" s="31"/>
      <c r="I56" s="31"/>
      <c r="J56" s="45" t="s">
        <v>8</v>
      </c>
      <c r="K56" s="56"/>
      <c r="L56" s="57"/>
      <c r="M56" s="58"/>
      <c r="N56" s="58"/>
      <c r="O56" s="65"/>
      <c r="P56" s="8"/>
      <c r="R56" s="1">
        <f>IF($L56="Scheduled",1,"")</f>
      </c>
    </row>
    <row r="57" spans="1:18" ht="12.75">
      <c r="A57" s="29"/>
      <c r="B57" s="16"/>
      <c r="C57" s="13" t="s">
        <v>18</v>
      </c>
      <c r="D57" s="40">
        <f>D58-D56</f>
        <v>11</v>
      </c>
      <c r="E57" s="14"/>
      <c r="F57" s="50"/>
      <c r="G57" s="48"/>
      <c r="H57" s="31"/>
      <c r="I57" s="31"/>
      <c r="J57" s="7" t="s">
        <v>9</v>
      </c>
      <c r="K57" s="34" t="s">
        <v>10</v>
      </c>
      <c r="L57" s="57"/>
      <c r="M57" s="58"/>
      <c r="N57" s="58"/>
      <c r="O57" s="65"/>
      <c r="P57" s="8"/>
      <c r="R57" s="1">
        <f>IF($L57="Scheduled",1,"")</f>
      </c>
    </row>
    <row r="58" spans="1:20" ht="13.5" thickBot="1">
      <c r="A58" s="29"/>
      <c r="B58" s="16"/>
      <c r="C58" s="13" t="s">
        <v>14</v>
      </c>
      <c r="D58" s="41">
        <f>COUNT(A6:A54)</f>
        <v>28</v>
      </c>
      <c r="E58" s="14"/>
      <c r="F58" s="50"/>
      <c r="G58" s="48"/>
      <c r="H58" s="31"/>
      <c r="I58" s="31"/>
      <c r="J58" s="25">
        <f>SUM(J6:J54)/2</f>
        <v>25.733333333570044</v>
      </c>
      <c r="K58" s="25">
        <f>SUM(K6:K54)/2</f>
        <v>25.733333333570044</v>
      </c>
      <c r="L58" s="57"/>
      <c r="M58" s="58"/>
      <c r="N58" s="58"/>
      <c r="O58" s="65"/>
      <c r="P58" s="8"/>
      <c r="Q58" s="41">
        <f>SUM(Q1:Q54)</f>
        <v>17</v>
      </c>
      <c r="R58" s="41">
        <f>SUM(R1:R54)</f>
        <v>11</v>
      </c>
      <c r="S58" s="41">
        <f>SUM(S1:S54)</f>
        <v>1</v>
      </c>
      <c r="T58" s="42">
        <f>SUM(Q58:S58)</f>
        <v>29</v>
      </c>
    </row>
    <row r="59" spans="1:19" ht="13.5" thickTop="1">
      <c r="A59" s="29"/>
      <c r="B59" s="16"/>
      <c r="C59" s="13"/>
      <c r="D59" s="7"/>
      <c r="E59" s="14"/>
      <c r="F59" s="50"/>
      <c r="G59" s="48"/>
      <c r="H59" s="31"/>
      <c r="I59" s="31"/>
      <c r="J59" s="7"/>
      <c r="K59" s="33"/>
      <c r="L59" s="57"/>
      <c r="M59" s="58"/>
      <c r="N59" s="58"/>
      <c r="O59" s="57"/>
      <c r="P59" s="8"/>
      <c r="Q59" s="1" t="s">
        <v>27</v>
      </c>
      <c r="R59" s="2" t="s">
        <v>24</v>
      </c>
      <c r="S59" s="1" t="s">
        <v>28</v>
      </c>
    </row>
    <row r="60" spans="1:29" ht="12.75">
      <c r="A60" s="29"/>
      <c r="B60" s="16"/>
      <c r="C60" s="13" t="s">
        <v>11</v>
      </c>
      <c r="D60" s="7">
        <f>SUM(D6:D54)/2</f>
        <v>1543.3499999995693</v>
      </c>
      <c r="E60" s="18">
        <f>D60/24</f>
        <v>64.30624999998206</v>
      </c>
      <c r="F60" s="52" t="s">
        <v>35</v>
      </c>
      <c r="G60" s="48"/>
      <c r="H60" s="31"/>
      <c r="I60" s="31"/>
      <c r="J60" s="7"/>
      <c r="K60" s="33"/>
      <c r="L60" s="57"/>
      <c r="M60" s="58"/>
      <c r="N60" s="58"/>
      <c r="O60" s="57"/>
      <c r="P60" s="8"/>
      <c r="Q60" s="1">
        <f>IF($O62="Store Lost",1,"")</f>
      </c>
      <c r="T60" s="42"/>
      <c r="AA60" s="3"/>
      <c r="AB60" s="3"/>
      <c r="AC60" s="3"/>
    </row>
    <row r="61" spans="1:17" ht="12.75">
      <c r="A61" s="29"/>
      <c r="B61" s="16"/>
      <c r="C61" s="13" t="s">
        <v>12</v>
      </c>
      <c r="D61" s="7">
        <f>J58</f>
        <v>25.733333333570044</v>
      </c>
      <c r="E61" s="14" t="s">
        <v>31</v>
      </c>
      <c r="F61" s="50"/>
      <c r="G61" s="48"/>
      <c r="H61" s="31"/>
      <c r="I61" s="31"/>
      <c r="J61" s="7"/>
      <c r="K61" s="33"/>
      <c r="L61" s="57"/>
      <c r="M61" s="58"/>
      <c r="N61" s="58"/>
      <c r="O61" s="57"/>
      <c r="P61" s="8"/>
      <c r="Q61" s="1">
        <f>IF($O63="Store Lost",1,"")</f>
      </c>
    </row>
    <row r="62" spans="1:26" ht="13.5" thickBot="1">
      <c r="A62" s="29"/>
      <c r="B62" s="16"/>
      <c r="C62" s="13" t="s">
        <v>13</v>
      </c>
      <c r="D62" s="41">
        <f>SUM(D60:D61)</f>
        <v>1569.0833333331393</v>
      </c>
      <c r="E62" s="18"/>
      <c r="F62" s="50"/>
      <c r="G62" s="48"/>
      <c r="H62" s="31"/>
      <c r="I62" s="31"/>
      <c r="J62" s="7"/>
      <c r="K62" s="33"/>
      <c r="L62" s="57"/>
      <c r="M62" s="58"/>
      <c r="N62" s="58"/>
      <c r="O62" s="57"/>
      <c r="P62" s="8"/>
      <c r="Q62" s="1">
        <f>IF($O64="Store Lost",1,"")</f>
      </c>
      <c r="U62" s="3"/>
      <c r="V62" s="3"/>
      <c r="W62" s="3"/>
      <c r="X62" s="3"/>
      <c r="Y62" s="3"/>
      <c r="Z62" s="3"/>
    </row>
    <row r="63" spans="1:18" ht="13.5" thickTop="1">
      <c r="A63" s="29"/>
      <c r="B63" s="16"/>
      <c r="C63" s="13"/>
      <c r="D63" s="26"/>
      <c r="E63" s="47"/>
      <c r="F63" s="50"/>
      <c r="G63" s="48"/>
      <c r="H63" s="7"/>
      <c r="I63" s="31"/>
      <c r="J63" s="7"/>
      <c r="K63" s="33"/>
      <c r="L63" s="57"/>
      <c r="M63" s="58"/>
      <c r="N63" s="58"/>
      <c r="O63" s="57"/>
      <c r="P63" s="8"/>
      <c r="Q63" s="43">
        <f>Q58+R58</f>
        <v>28</v>
      </c>
      <c r="R63" s="1">
        <f aca="true" t="shared" si="7" ref="R63:R77">IF($P65="Store Lost",1,"")</f>
      </c>
    </row>
    <row r="64" spans="1:20" ht="12.75">
      <c r="A64" s="29"/>
      <c r="B64" s="16"/>
      <c r="C64" s="13"/>
      <c r="D64" s="26"/>
      <c r="E64" s="14"/>
      <c r="F64" s="50"/>
      <c r="G64" s="48"/>
      <c r="H64" s="31"/>
      <c r="I64" s="31"/>
      <c r="J64" s="7"/>
      <c r="K64" s="33"/>
      <c r="L64" s="57"/>
      <c r="M64" s="58"/>
      <c r="N64" s="58"/>
      <c r="O64" s="57"/>
      <c r="P64" s="8"/>
      <c r="Q64" s="8"/>
      <c r="R64" s="1">
        <f t="shared" si="7"/>
      </c>
      <c r="S64" s="3"/>
      <c r="T64" s="3"/>
    </row>
    <row r="65" spans="1:18" ht="12.75">
      <c r="A65" s="29"/>
      <c r="B65" s="16"/>
      <c r="C65" s="13" t="s">
        <v>29</v>
      </c>
      <c r="D65" s="27">
        <f>IF(D56,D60/D56,D60)</f>
        <v>90.78529411762172</v>
      </c>
      <c r="E65" s="14"/>
      <c r="F65" s="50"/>
      <c r="G65" s="48"/>
      <c r="J65" s="32"/>
      <c r="K65" s="20"/>
      <c r="Q65" s="8"/>
      <c r="R65" s="1">
        <f t="shared" si="7"/>
      </c>
    </row>
    <row r="66" spans="1:18" ht="12.75">
      <c r="A66" s="29"/>
      <c r="B66" s="16"/>
      <c r="C66" s="13" t="s">
        <v>16</v>
      </c>
      <c r="D66" s="26">
        <f>IF(D56,24/D65,0)</f>
        <v>0.2643599961124268</v>
      </c>
      <c r="E66" s="78"/>
      <c r="F66" s="80"/>
      <c r="G66" s="79"/>
      <c r="K66" s="20"/>
      <c r="Q66" s="8"/>
      <c r="R66" s="1" t="e">
        <f>IF(#REF!="Store Lost",1,"")</f>
        <v>#REF!</v>
      </c>
    </row>
    <row r="67" spans="1:18" ht="12.75">
      <c r="A67" s="29"/>
      <c r="B67" s="16"/>
      <c r="C67" s="13" t="s">
        <v>17</v>
      </c>
      <c r="D67" s="36">
        <f>D60/D62</f>
        <v>0.9835997663177609</v>
      </c>
      <c r="E67" s="21"/>
      <c r="F67" s="50"/>
      <c r="G67" s="48"/>
      <c r="K67" s="20"/>
      <c r="Q67" s="8"/>
      <c r="R67" s="1" t="e">
        <f>IF(#REF!="Store Lost",1,"")</f>
        <v>#REF!</v>
      </c>
    </row>
    <row r="68" spans="1:18" ht="12.75">
      <c r="A68" s="29"/>
      <c r="B68" s="16"/>
      <c r="C68" s="16"/>
      <c r="D68" s="7"/>
      <c r="E68" s="14"/>
      <c r="F68" s="50"/>
      <c r="G68" s="48"/>
      <c r="K68" s="20"/>
      <c r="Q68" s="8"/>
      <c r="R68" s="1">
        <f t="shared" si="7"/>
      </c>
    </row>
    <row r="69" spans="1:18" ht="12.75">
      <c r="A69" s="29"/>
      <c r="B69" s="16"/>
      <c r="C69" s="16"/>
      <c r="D69" s="7"/>
      <c r="E69" s="14"/>
      <c r="F69" s="50"/>
      <c r="G69" s="48"/>
      <c r="K69" s="20"/>
      <c r="Q69" s="8"/>
      <c r="R69" s="1">
        <f t="shared" si="7"/>
      </c>
    </row>
    <row r="70" spans="1:18" ht="12.75">
      <c r="A70" s="29"/>
      <c r="B70" s="16"/>
      <c r="C70" s="16"/>
      <c r="D70" s="7"/>
      <c r="E70" s="14"/>
      <c r="F70" s="50"/>
      <c r="G70" s="48"/>
      <c r="K70" s="20"/>
      <c r="Q70" s="8"/>
      <c r="R70" s="1">
        <f t="shared" si="7"/>
      </c>
    </row>
    <row r="71" spans="1:29" s="5" customFormat="1" ht="13.5" thickBot="1">
      <c r="A71" s="29"/>
      <c r="B71" s="16"/>
      <c r="C71" s="16"/>
      <c r="D71" s="7"/>
      <c r="E71" s="14"/>
      <c r="F71" s="50"/>
      <c r="G71" s="48"/>
      <c r="H71" s="32"/>
      <c r="I71" s="32"/>
      <c r="J71" s="22"/>
      <c r="K71" s="20"/>
      <c r="L71" s="63"/>
      <c r="M71" s="64"/>
      <c r="N71" s="64"/>
      <c r="O71" s="63"/>
      <c r="P71" s="9"/>
      <c r="Q71" s="8"/>
      <c r="R71" s="1">
        <f t="shared" si="7"/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18" ht="12.75">
      <c r="A72" s="29"/>
      <c r="B72" s="16"/>
      <c r="C72" s="16"/>
      <c r="D72" s="7"/>
      <c r="E72" s="14"/>
      <c r="F72" s="50"/>
      <c r="G72" s="48"/>
      <c r="K72" s="20"/>
      <c r="Q72" s="8"/>
      <c r="R72" s="1">
        <f t="shared" si="7"/>
      </c>
    </row>
    <row r="73" spans="1:18" ht="12.75">
      <c r="A73" s="29"/>
      <c r="B73" s="16"/>
      <c r="C73" s="16"/>
      <c r="D73" s="7"/>
      <c r="E73" s="14"/>
      <c r="F73" s="50"/>
      <c r="G73" s="48"/>
      <c r="K73" s="20"/>
      <c r="Q73" s="8"/>
      <c r="R73" s="1">
        <f t="shared" si="7"/>
      </c>
    </row>
    <row r="74" spans="1:18" ht="12.75">
      <c r="A74" s="29"/>
      <c r="B74" s="16"/>
      <c r="C74" s="16"/>
      <c r="D74" s="7"/>
      <c r="E74" s="14"/>
      <c r="F74" s="50"/>
      <c r="G74" s="48"/>
      <c r="K74" s="20"/>
      <c r="Q74" s="8"/>
      <c r="R74" s="1">
        <f t="shared" si="7"/>
      </c>
    </row>
    <row r="75" spans="1:18" ht="12.75">
      <c r="A75" s="29"/>
      <c r="B75" s="16"/>
      <c r="C75" s="16"/>
      <c r="D75" s="7"/>
      <c r="E75" s="14"/>
      <c r="F75" s="50"/>
      <c r="G75" s="48"/>
      <c r="K75" s="20"/>
      <c r="Q75" s="8"/>
      <c r="R75" s="1">
        <f t="shared" si="7"/>
      </c>
    </row>
    <row r="76" spans="1:18" ht="12.75">
      <c r="A76" s="29"/>
      <c r="B76" s="16"/>
      <c r="C76" s="16"/>
      <c r="D76" s="7"/>
      <c r="E76" s="14"/>
      <c r="F76" s="50"/>
      <c r="G76" s="48"/>
      <c r="K76" s="20"/>
      <c r="Q76" s="8"/>
      <c r="R76" s="1">
        <f t="shared" si="7"/>
      </c>
    </row>
    <row r="77" spans="1:18" ht="12.75">
      <c r="A77" s="29"/>
      <c r="B77" s="16"/>
      <c r="C77" s="16"/>
      <c r="D77" s="7"/>
      <c r="E77" s="14"/>
      <c r="F77" s="50"/>
      <c r="G77" s="48"/>
      <c r="K77" s="20"/>
      <c r="Q77" s="8"/>
      <c r="R77" s="1">
        <f t="shared" si="7"/>
      </c>
    </row>
    <row r="78" spans="1:11" ht="12.75">
      <c r="A78" s="29"/>
      <c r="B78" s="16"/>
      <c r="C78" s="16"/>
      <c r="D78" s="7"/>
      <c r="E78" s="14"/>
      <c r="F78" s="50"/>
      <c r="G78" s="48"/>
      <c r="K78" s="20"/>
    </row>
    <row r="79" spans="1:11" ht="12.75">
      <c r="A79" s="29"/>
      <c r="B79" s="16"/>
      <c r="C79" s="16"/>
      <c r="D79" s="7"/>
      <c r="E79" s="14"/>
      <c r="F79" s="50"/>
      <c r="G79" s="48"/>
      <c r="K79" s="20"/>
    </row>
    <row r="80" spans="1:29" s="4" customFormat="1" ht="13.5" thickBot="1">
      <c r="A80" s="29"/>
      <c r="B80" s="16"/>
      <c r="C80" s="16"/>
      <c r="D80" s="7"/>
      <c r="E80" s="14"/>
      <c r="F80" s="50"/>
      <c r="G80" s="48"/>
      <c r="H80" s="31"/>
      <c r="I80" s="31"/>
      <c r="J80" s="7"/>
      <c r="K80" s="33"/>
      <c r="L80" s="57"/>
      <c r="M80" s="58"/>
      <c r="N80" s="58"/>
      <c r="O80" s="57"/>
      <c r="P80" s="8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s="3" customFormat="1" ht="14.25" thickBot="1" thickTop="1">
      <c r="A81" s="29"/>
      <c r="B81" s="16"/>
      <c r="C81" s="16"/>
      <c r="D81" s="22"/>
      <c r="E81" s="14"/>
      <c r="F81" s="50"/>
      <c r="G81" s="48"/>
      <c r="H81" s="31"/>
      <c r="I81" s="31"/>
      <c r="J81" s="22"/>
      <c r="K81" s="35"/>
      <c r="L81" s="57"/>
      <c r="M81" s="58"/>
      <c r="N81" s="58"/>
      <c r="O81" s="57"/>
      <c r="P81" s="8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5"/>
      <c r="AC81" s="5"/>
    </row>
    <row r="82" spans="1:16" ht="12.75">
      <c r="A82" s="29"/>
      <c r="B82" s="16"/>
      <c r="C82" s="16"/>
      <c r="E82" s="14"/>
      <c r="F82" s="50"/>
      <c r="G82" s="48"/>
      <c r="H82" s="31"/>
      <c r="I82" s="31"/>
      <c r="L82" s="57"/>
      <c r="M82" s="58"/>
      <c r="N82" s="58"/>
      <c r="O82" s="57"/>
      <c r="P82" s="8"/>
    </row>
    <row r="83" spans="1:26" ht="13.5" thickBot="1">
      <c r="A83" s="29"/>
      <c r="B83" s="16"/>
      <c r="C83" s="16"/>
      <c r="E83" s="14"/>
      <c r="F83" s="50"/>
      <c r="G83" s="48"/>
      <c r="H83" s="31"/>
      <c r="I83" s="31"/>
      <c r="L83" s="57"/>
      <c r="M83" s="58"/>
      <c r="N83" s="58"/>
      <c r="O83" s="57"/>
      <c r="P83" s="8"/>
      <c r="U83" s="5"/>
      <c r="V83" s="5"/>
      <c r="W83" s="5"/>
      <c r="X83" s="5"/>
      <c r="Y83" s="5"/>
      <c r="Z83" s="5"/>
    </row>
    <row r="84" spans="1:16" ht="12.75">
      <c r="A84" s="29"/>
      <c r="B84" s="16"/>
      <c r="C84" s="16"/>
      <c r="F84" s="50"/>
      <c r="G84" s="48"/>
      <c r="H84" s="31"/>
      <c r="I84" s="31"/>
      <c r="L84" s="57"/>
      <c r="M84" s="58"/>
      <c r="N84" s="58"/>
      <c r="O84" s="57"/>
      <c r="P84" s="8"/>
    </row>
    <row r="85" spans="2:20" ht="13.5" thickBot="1">
      <c r="B85" s="16"/>
      <c r="C85" s="16"/>
      <c r="F85" s="50"/>
      <c r="G85" s="48"/>
      <c r="H85" s="31"/>
      <c r="I85" s="31"/>
      <c r="L85" s="57"/>
      <c r="M85" s="58"/>
      <c r="N85" s="58"/>
      <c r="O85" s="57"/>
      <c r="P85" s="8"/>
      <c r="R85" s="5"/>
      <c r="S85" s="5"/>
      <c r="T85" s="5"/>
    </row>
    <row r="86" spans="2:16" ht="12.75">
      <c r="B86" s="16"/>
      <c r="C86" s="16"/>
      <c r="F86" s="50"/>
      <c r="G86" s="48"/>
      <c r="H86" s="31"/>
      <c r="I86" s="31"/>
      <c r="L86" s="57"/>
      <c r="M86" s="58"/>
      <c r="N86" s="58"/>
      <c r="O86" s="57"/>
      <c r="P86" s="8"/>
    </row>
    <row r="87" spans="2:17" ht="12.75">
      <c r="B87" s="16"/>
      <c r="C87" s="16"/>
      <c r="F87" s="50"/>
      <c r="G87" s="48"/>
      <c r="H87" s="31"/>
      <c r="I87" s="31"/>
      <c r="L87" s="57"/>
      <c r="M87" s="58"/>
      <c r="N87" s="58"/>
      <c r="O87" s="57"/>
      <c r="P87" s="8"/>
      <c r="Q87" s="1">
        <f aca="true" t="shared" si="8" ref="Q87:Q144">IF($O89="Store Lost",1,"")</f>
      </c>
    </row>
    <row r="88" spans="2:17" ht="12.75">
      <c r="B88" s="16"/>
      <c r="C88" s="16"/>
      <c r="F88" s="50"/>
      <c r="G88" s="48"/>
      <c r="H88" s="31"/>
      <c r="I88" s="31"/>
      <c r="L88" s="57"/>
      <c r="M88" s="58"/>
      <c r="N88" s="58"/>
      <c r="O88" s="57"/>
      <c r="P88" s="8"/>
      <c r="Q88" s="1">
        <f t="shared" si="8"/>
      </c>
    </row>
    <row r="89" spans="2:17" ht="12.75">
      <c r="B89" s="16"/>
      <c r="C89" s="16"/>
      <c r="Q89" s="1">
        <f t="shared" si="8"/>
      </c>
    </row>
    <row r="90" spans="17:29" ht="13.5" thickBot="1">
      <c r="Q90" s="1">
        <f t="shared" si="8"/>
      </c>
      <c r="AA90" s="4"/>
      <c r="AB90" s="4"/>
      <c r="AC90" s="4"/>
    </row>
    <row r="91" spans="17:29" ht="13.5" thickTop="1">
      <c r="Q91" s="1">
        <f t="shared" si="8"/>
      </c>
      <c r="AA91" s="3"/>
      <c r="AB91" s="3"/>
      <c r="AC91" s="3"/>
    </row>
    <row r="92" spans="17:26" ht="13.5" thickBot="1">
      <c r="Q92" s="1">
        <f t="shared" si="8"/>
      </c>
      <c r="U92" s="4"/>
      <c r="V92" s="4"/>
      <c r="W92" s="4"/>
      <c r="X92" s="4"/>
      <c r="Y92" s="4"/>
      <c r="Z92" s="4"/>
    </row>
    <row r="93" spans="17:26" ht="13.5" thickTop="1">
      <c r="Q93" s="1">
        <f t="shared" si="8"/>
      </c>
      <c r="U93" s="3"/>
      <c r="V93" s="3"/>
      <c r="W93" s="3"/>
      <c r="X93" s="3"/>
      <c r="Y93" s="3"/>
      <c r="Z93" s="3"/>
    </row>
    <row r="94" spans="1:29" s="5" customFormat="1" ht="13.5" thickBot="1">
      <c r="A94" s="30"/>
      <c r="B94" s="19"/>
      <c r="C94" s="19"/>
      <c r="D94" s="22"/>
      <c r="E94" s="23"/>
      <c r="F94" s="51"/>
      <c r="G94" s="49"/>
      <c r="H94" s="32"/>
      <c r="I94" s="32"/>
      <c r="J94" s="22"/>
      <c r="K94" s="35"/>
      <c r="L94" s="63"/>
      <c r="M94" s="64"/>
      <c r="N94" s="64"/>
      <c r="O94" s="63"/>
      <c r="P94" s="9"/>
      <c r="Q94" s="1">
        <f t="shared" si="8"/>
      </c>
      <c r="R94" s="4"/>
      <c r="S94" s="4"/>
      <c r="T94" s="4"/>
      <c r="U94" s="1"/>
      <c r="V94" s="1"/>
      <c r="W94" s="1"/>
      <c r="X94" s="1"/>
      <c r="Y94" s="1"/>
      <c r="Z94" s="1"/>
      <c r="AA94" s="1"/>
      <c r="AB94" s="1"/>
      <c r="AC94" s="1"/>
    </row>
    <row r="95" spans="17:20" ht="13.5" thickTop="1">
      <c r="Q95" s="1">
        <f t="shared" si="8"/>
      </c>
      <c r="R95" s="3"/>
      <c r="S95" s="3"/>
      <c r="T95" s="3"/>
    </row>
    <row r="96" ht="12.75">
      <c r="Q96" s="1">
        <f t="shared" si="8"/>
      </c>
    </row>
    <row r="97" ht="12.75">
      <c r="Q97" s="1">
        <f t="shared" si="8"/>
      </c>
    </row>
    <row r="98" ht="12.75">
      <c r="Q98" s="1">
        <f t="shared" si="8"/>
      </c>
    </row>
    <row r="99" ht="12.75">
      <c r="Q99" s="1">
        <f t="shared" si="8"/>
      </c>
    </row>
    <row r="100" ht="12.75">
      <c r="Q100" s="1">
        <f t="shared" si="8"/>
      </c>
    </row>
    <row r="101" ht="12.75">
      <c r="Q101" s="1">
        <f t="shared" si="8"/>
      </c>
    </row>
    <row r="102" ht="12.75">
      <c r="Q102" s="1">
        <f t="shared" si="8"/>
      </c>
    </row>
    <row r="103" ht="12.75">
      <c r="Q103" s="1">
        <f t="shared" si="8"/>
      </c>
    </row>
    <row r="104" spans="17:29" ht="13.5" thickBot="1">
      <c r="Q104" s="1">
        <f t="shared" si="8"/>
      </c>
      <c r="AA104" s="5"/>
      <c r="AB104" s="5"/>
      <c r="AC104" s="5"/>
    </row>
    <row r="105" ht="12.75">
      <c r="Q105" s="1">
        <f t="shared" si="8"/>
      </c>
    </row>
    <row r="106" spans="17:26" ht="13.5" thickBot="1">
      <c r="Q106" s="1">
        <f t="shared" si="8"/>
      </c>
      <c r="U106" s="5"/>
      <c r="V106" s="5"/>
      <c r="W106" s="5"/>
      <c r="X106" s="5"/>
      <c r="Y106" s="5"/>
      <c r="Z106" s="5"/>
    </row>
    <row r="107" spans="1:29" s="5" customFormat="1" ht="13.5" thickBot="1">
      <c r="A107" s="30"/>
      <c r="B107" s="19"/>
      <c r="C107" s="19"/>
      <c r="D107" s="22"/>
      <c r="E107" s="23"/>
      <c r="F107" s="51"/>
      <c r="G107" s="49"/>
      <c r="H107" s="32"/>
      <c r="I107" s="32"/>
      <c r="J107" s="22"/>
      <c r="K107" s="35"/>
      <c r="L107" s="63"/>
      <c r="M107" s="64"/>
      <c r="N107" s="64"/>
      <c r="O107" s="63"/>
      <c r="P107" s="9"/>
      <c r="Q107" s="1">
        <f t="shared" si="8"/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s="3" customFormat="1" ht="13.5" thickBot="1">
      <c r="A108" s="30"/>
      <c r="B108" s="19"/>
      <c r="C108" s="19"/>
      <c r="D108" s="22"/>
      <c r="E108" s="23"/>
      <c r="F108" s="51"/>
      <c r="G108" s="49"/>
      <c r="H108" s="32"/>
      <c r="I108" s="32"/>
      <c r="J108" s="22"/>
      <c r="K108" s="35"/>
      <c r="L108" s="63"/>
      <c r="M108" s="64"/>
      <c r="N108" s="64"/>
      <c r="O108" s="63"/>
      <c r="P108" s="9"/>
      <c r="Q108" s="1">
        <f t="shared" si="8"/>
      </c>
      <c r="R108" s="5"/>
      <c r="S108" s="5"/>
      <c r="T108" s="5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s="5" customFormat="1" ht="13.5" thickBot="1">
      <c r="A109" s="30"/>
      <c r="B109" s="19"/>
      <c r="C109" s="19"/>
      <c r="D109" s="22"/>
      <c r="E109" s="23"/>
      <c r="F109" s="51"/>
      <c r="G109" s="49"/>
      <c r="H109" s="32"/>
      <c r="I109" s="32"/>
      <c r="J109" s="22"/>
      <c r="K109" s="35"/>
      <c r="L109" s="63"/>
      <c r="M109" s="64"/>
      <c r="N109" s="64"/>
      <c r="O109" s="63"/>
      <c r="P109" s="9"/>
      <c r="Q109" s="1">
        <f t="shared" si="8"/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ht="12.75">
      <c r="Q110" s="1">
        <f t="shared" si="8"/>
      </c>
    </row>
    <row r="111" ht="12.75">
      <c r="Q111" s="1">
        <f t="shared" si="8"/>
      </c>
    </row>
    <row r="112" ht="12.75">
      <c r="Q112" s="1">
        <f t="shared" si="8"/>
      </c>
    </row>
    <row r="113" ht="12.75">
      <c r="Q113" s="1">
        <f t="shared" si="8"/>
      </c>
    </row>
    <row r="114" ht="12.75">
      <c r="Q114" s="1">
        <f t="shared" si="8"/>
      </c>
    </row>
    <row r="115" ht="12.75">
      <c r="Q115" s="1">
        <f t="shared" si="8"/>
      </c>
    </row>
    <row r="116" ht="12.75">
      <c r="Q116" s="1">
        <f t="shared" si="8"/>
      </c>
    </row>
    <row r="117" spans="17:29" ht="13.5" thickBot="1">
      <c r="Q117" s="1">
        <f t="shared" si="8"/>
      </c>
      <c r="AA117" s="5"/>
      <c r="AB117" s="5"/>
      <c r="AC117" s="5"/>
    </row>
    <row r="118" spans="17:29" ht="12.75">
      <c r="Q118" s="1">
        <f t="shared" si="8"/>
      </c>
      <c r="AA118" s="3"/>
      <c r="AB118" s="3"/>
      <c r="AC118" s="3"/>
    </row>
    <row r="119" spans="17:29" ht="13.5" thickBot="1">
      <c r="Q119" s="1">
        <f t="shared" si="8"/>
      </c>
      <c r="U119" s="5"/>
      <c r="V119" s="5"/>
      <c r="W119" s="5"/>
      <c r="X119" s="5"/>
      <c r="Y119" s="5"/>
      <c r="Z119" s="5"/>
      <c r="AA119" s="5"/>
      <c r="AB119" s="5"/>
      <c r="AC119" s="5"/>
    </row>
    <row r="120" spans="17:26" ht="12.75">
      <c r="Q120" s="1">
        <f t="shared" si="8"/>
      </c>
      <c r="U120" s="3"/>
      <c r="V120" s="3"/>
      <c r="W120" s="3"/>
      <c r="X120" s="3"/>
      <c r="Y120" s="3"/>
      <c r="Z120" s="3"/>
    </row>
    <row r="121" spans="17:26" ht="13.5" thickBot="1">
      <c r="Q121" s="1">
        <f t="shared" si="8"/>
      </c>
      <c r="R121" s="5"/>
      <c r="S121" s="5"/>
      <c r="T121" s="5"/>
      <c r="U121" s="5"/>
      <c r="V121" s="5"/>
      <c r="W121" s="5"/>
      <c r="X121" s="5"/>
      <c r="Y121" s="5"/>
      <c r="Z121" s="5"/>
    </row>
    <row r="122" spans="17:20" ht="12.75">
      <c r="Q122" s="1">
        <f t="shared" si="8"/>
      </c>
      <c r="R122" s="3"/>
      <c r="S122" s="3"/>
      <c r="T122" s="3"/>
    </row>
    <row r="123" spans="17:20" ht="13.5" thickBot="1">
      <c r="Q123" s="1">
        <f t="shared" si="8"/>
      </c>
      <c r="R123" s="5"/>
      <c r="S123" s="5"/>
      <c r="T123" s="5"/>
    </row>
    <row r="124" ht="12.75">
      <c r="Q124" s="1">
        <f t="shared" si="8"/>
      </c>
    </row>
    <row r="125" ht="12.75">
      <c r="Q125" s="1">
        <f t="shared" si="8"/>
      </c>
    </row>
    <row r="126" ht="12.75">
      <c r="Q126" s="1">
        <f t="shared" si="8"/>
      </c>
    </row>
    <row r="127" ht="12.75">
      <c r="Q127" s="1">
        <f t="shared" si="8"/>
      </c>
    </row>
    <row r="128" ht="12.75">
      <c r="Q128" s="1">
        <f t="shared" si="8"/>
      </c>
    </row>
    <row r="129" ht="12.75">
      <c r="Q129" s="1">
        <f t="shared" si="8"/>
      </c>
    </row>
    <row r="130" spans="1:29" s="5" customFormat="1" ht="13.5" thickBot="1">
      <c r="A130" s="30"/>
      <c r="B130" s="19"/>
      <c r="C130" s="19"/>
      <c r="D130" s="22"/>
      <c r="E130" s="23"/>
      <c r="F130" s="51"/>
      <c r="G130" s="49"/>
      <c r="H130" s="32"/>
      <c r="I130" s="32"/>
      <c r="J130" s="22"/>
      <c r="K130" s="35"/>
      <c r="L130" s="63"/>
      <c r="M130" s="64"/>
      <c r="N130" s="64"/>
      <c r="O130" s="63"/>
      <c r="P130" s="9"/>
      <c r="Q130" s="1">
        <f t="shared" si="8"/>
      </c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ht="12.75">
      <c r="Q131" s="1">
        <f t="shared" si="8"/>
      </c>
    </row>
    <row r="132" ht="12.75">
      <c r="Q132" s="1">
        <f t="shared" si="8"/>
      </c>
    </row>
    <row r="133" ht="12.75">
      <c r="Q133" s="1">
        <f t="shared" si="8"/>
      </c>
    </row>
    <row r="134" ht="12.75">
      <c r="Q134" s="1">
        <f t="shared" si="8"/>
      </c>
    </row>
    <row r="135" ht="12.75">
      <c r="Q135" s="1">
        <f t="shared" si="8"/>
      </c>
    </row>
    <row r="136" ht="12.75">
      <c r="Q136" s="1">
        <f t="shared" si="8"/>
      </c>
    </row>
    <row r="137" ht="12.75">
      <c r="Q137" s="1">
        <f t="shared" si="8"/>
      </c>
    </row>
    <row r="138" ht="12.75">
      <c r="Q138" s="1">
        <f t="shared" si="8"/>
      </c>
    </row>
    <row r="139" ht="12.75">
      <c r="Q139" s="1">
        <f t="shared" si="8"/>
      </c>
    </row>
    <row r="140" spans="17:29" ht="13.5" thickBot="1">
      <c r="Q140" s="1">
        <f t="shared" si="8"/>
      </c>
      <c r="AA140" s="5"/>
      <c r="AB140" s="5"/>
      <c r="AC140" s="5"/>
    </row>
    <row r="141" ht="12.75">
      <c r="Q141" s="1">
        <f t="shared" si="8"/>
      </c>
    </row>
    <row r="142" spans="17:26" ht="13.5" thickBot="1">
      <c r="Q142" s="1">
        <f t="shared" si="8"/>
      </c>
      <c r="U142" s="5"/>
      <c r="V142" s="5"/>
      <c r="W142" s="5"/>
      <c r="X142" s="5"/>
      <c r="Y142" s="5"/>
      <c r="Z142" s="5"/>
    </row>
    <row r="143" ht="12.75">
      <c r="Q143" s="1">
        <f t="shared" si="8"/>
      </c>
    </row>
    <row r="144" spans="17:20" ht="13.5" thickBot="1">
      <c r="Q144" s="1">
        <f t="shared" si="8"/>
      </c>
      <c r="R144" s="5"/>
      <c r="S144" s="5"/>
      <c r="T144" s="5"/>
    </row>
    <row r="148" ht="12.75">
      <c r="Q148" s="1">
        <f>COUNT(Q54:Q144)</f>
        <v>2</v>
      </c>
    </row>
  </sheetData>
  <mergeCells count="1">
    <mergeCell ref="A2:I2"/>
  </mergeCells>
  <printOptions/>
  <pageMargins left="0" right="0" top="0" bottom="0.03" header="0.19" footer="0.15"/>
  <pageSetup fitToHeight="0" fitToWidth="1" horizontalDpi="600" verticalDpi="600" orientation="landscape" paperSize="5" scale="53" r:id="rId2"/>
  <headerFooter alignWithMargins="0">
    <oddFooter>&amp;RUpdated &amp;D</oddFooter>
  </headerFooter>
  <rowBreaks count="1" manualBreakCount="1">
    <brk id="86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28"/>
  <sheetViews>
    <sheetView workbookViewId="0" topLeftCell="A1">
      <selection activeCell="D21" sqref="D21"/>
    </sheetView>
  </sheetViews>
  <sheetFormatPr defaultColWidth="9.140625" defaultRowHeight="12.75"/>
  <cols>
    <col min="1" max="1" width="20.421875" style="0" customWidth="1"/>
    <col min="11" max="11" width="10.28125" style="0" customWidth="1"/>
    <col min="12" max="14" width="8.28125" style="0" customWidth="1"/>
    <col min="15" max="15" width="12.421875" style="0" customWidth="1"/>
    <col min="16" max="16" width="9.8515625" style="0" customWidth="1"/>
    <col min="17" max="17" width="9.421875" style="0" customWidth="1"/>
    <col min="18" max="18" width="6.421875" style="0" customWidth="1"/>
    <col min="19" max="19" width="9.421875" style="0" customWidth="1"/>
    <col min="20" max="20" width="14.57421875" style="0" customWidth="1"/>
    <col min="21" max="21" width="9.00390625" style="0" customWidth="1"/>
    <col min="22" max="24" width="6.57421875" style="0" customWidth="1"/>
    <col min="25" max="25" width="11.140625" style="0" bestFit="1" customWidth="1"/>
    <col min="26" max="26" width="10.57421875" style="0" bestFit="1" customWidth="1"/>
  </cols>
  <sheetData>
    <row r="3" spans="1:11" ht="12.75">
      <c r="A3" s="94"/>
      <c r="B3" s="93" t="s">
        <v>37</v>
      </c>
      <c r="C3" s="135"/>
      <c r="D3" s="135"/>
      <c r="E3" s="135"/>
      <c r="F3" s="135"/>
      <c r="G3" s="135"/>
      <c r="H3" s="135"/>
      <c r="I3" s="135"/>
      <c r="J3" s="135"/>
      <c r="K3" s="136"/>
    </row>
    <row r="4" spans="1:11" ht="12.75">
      <c r="A4" s="93" t="s">
        <v>42</v>
      </c>
      <c r="B4" s="94" t="s">
        <v>73</v>
      </c>
      <c r="C4" s="137" t="s">
        <v>36</v>
      </c>
      <c r="D4" s="137" t="s">
        <v>39</v>
      </c>
      <c r="E4" s="137" t="s">
        <v>76</v>
      </c>
      <c r="F4" s="137" t="s">
        <v>64</v>
      </c>
      <c r="G4" s="137" t="s">
        <v>74</v>
      </c>
      <c r="H4" s="137" t="s">
        <v>85</v>
      </c>
      <c r="I4" s="137" t="s">
        <v>86</v>
      </c>
      <c r="J4" s="137" t="s">
        <v>92</v>
      </c>
      <c r="K4" s="95" t="s">
        <v>41</v>
      </c>
    </row>
    <row r="5" spans="1:11" ht="12.75">
      <c r="A5" s="94" t="s">
        <v>44</v>
      </c>
      <c r="B5" s="138">
        <v>0</v>
      </c>
      <c r="C5" s="139">
        <v>0</v>
      </c>
      <c r="D5" s="139">
        <v>1</v>
      </c>
      <c r="E5" s="139">
        <v>0</v>
      </c>
      <c r="F5" s="139">
        <v>0</v>
      </c>
      <c r="G5" s="139">
        <v>0</v>
      </c>
      <c r="H5" s="139">
        <v>0</v>
      </c>
      <c r="I5" s="139">
        <v>0</v>
      </c>
      <c r="J5" s="139">
        <v>0</v>
      </c>
      <c r="K5" s="96">
        <v>1</v>
      </c>
    </row>
    <row r="6" spans="1:11" ht="12.75">
      <c r="A6" s="97" t="s">
        <v>43</v>
      </c>
      <c r="B6" s="140">
        <v>0</v>
      </c>
      <c r="C6" s="141">
        <v>0</v>
      </c>
      <c r="D6" s="141">
        <v>0</v>
      </c>
      <c r="E6" s="141">
        <v>0</v>
      </c>
      <c r="F6" s="141">
        <v>0</v>
      </c>
      <c r="G6" s="141">
        <v>0</v>
      </c>
      <c r="H6" s="141">
        <v>0</v>
      </c>
      <c r="I6" s="141">
        <v>0</v>
      </c>
      <c r="J6" s="141">
        <v>0</v>
      </c>
      <c r="K6" s="98">
        <v>0</v>
      </c>
    </row>
    <row r="7" spans="1:11" ht="12.75">
      <c r="A7" s="97" t="s">
        <v>45</v>
      </c>
      <c r="B7" s="140">
        <v>1</v>
      </c>
      <c r="C7" s="141">
        <v>1</v>
      </c>
      <c r="D7" s="141">
        <v>3</v>
      </c>
      <c r="E7" s="141">
        <v>5</v>
      </c>
      <c r="F7" s="141">
        <v>3</v>
      </c>
      <c r="G7" s="141">
        <v>1</v>
      </c>
      <c r="H7" s="141">
        <v>1</v>
      </c>
      <c r="I7" s="141">
        <v>1</v>
      </c>
      <c r="J7" s="141">
        <v>1</v>
      </c>
      <c r="K7" s="98">
        <v>17</v>
      </c>
    </row>
    <row r="8" spans="1:11" ht="12.75">
      <c r="A8" s="99" t="s">
        <v>46</v>
      </c>
      <c r="B8" s="142">
        <v>0.3166666666511446</v>
      </c>
      <c r="C8" s="143">
        <v>0.8833333334187046</v>
      </c>
      <c r="D8" s="143">
        <v>7.766666666662786</v>
      </c>
      <c r="E8" s="143">
        <v>2.6833333333488554</v>
      </c>
      <c r="F8" s="143">
        <v>6.916666666511446</v>
      </c>
      <c r="G8" s="143">
        <v>0.5000000000582077</v>
      </c>
      <c r="H8" s="143">
        <v>2.4833333335700445</v>
      </c>
      <c r="I8" s="143">
        <v>1.4833333332790062</v>
      </c>
      <c r="J8" s="143">
        <v>2.700000000069849</v>
      </c>
      <c r="K8" s="100">
        <v>25.733333333570044</v>
      </c>
    </row>
    <row r="12" ht="13.5" thickBot="1"/>
    <row r="13" spans="2:20" ht="12.75">
      <c r="B13" s="102" t="s">
        <v>39</v>
      </c>
      <c r="C13" s="103" t="s">
        <v>47</v>
      </c>
      <c r="D13" s="103" t="s">
        <v>36</v>
      </c>
      <c r="E13" s="103" t="s">
        <v>48</v>
      </c>
      <c r="F13" s="103" t="s">
        <v>49</v>
      </c>
      <c r="G13" s="103" t="s">
        <v>50</v>
      </c>
      <c r="H13" s="103" t="s">
        <v>51</v>
      </c>
      <c r="I13" s="103" t="s">
        <v>52</v>
      </c>
      <c r="J13" s="103" t="s">
        <v>53</v>
      </c>
      <c r="K13" s="103" t="s">
        <v>54</v>
      </c>
      <c r="L13" s="103" t="s">
        <v>55</v>
      </c>
      <c r="M13" s="103" t="s">
        <v>56</v>
      </c>
      <c r="N13" s="103" t="s">
        <v>57</v>
      </c>
      <c r="O13" s="103" t="s">
        <v>58</v>
      </c>
      <c r="P13" s="103" t="s">
        <v>40</v>
      </c>
      <c r="Q13" s="165" t="s">
        <v>95</v>
      </c>
      <c r="R13" s="104" t="s">
        <v>59</v>
      </c>
      <c r="S13" s="104" t="s">
        <v>41</v>
      </c>
      <c r="T13" s="105" t="s">
        <v>60</v>
      </c>
    </row>
    <row r="14" spans="1:20" s="112" customFormat="1" ht="12.75" hidden="1">
      <c r="A14" s="106" t="s">
        <v>62</v>
      </c>
      <c r="B14" s="109">
        <f>GETPIVOTDATA("Sum of System
Length",$A$3,"Group","RF")</f>
        <v>7.766666666662786</v>
      </c>
      <c r="C14" s="109">
        <f>GETPIVOTDATA("Sum of System
Length",$A$3,"Group","DIA")</f>
        <v>0.5000000000582077</v>
      </c>
      <c r="D14" s="109">
        <f>GETPIVOTDATA("Sum of System
Length",$A$3,"Group","PS")</f>
        <v>0.8833333334187046</v>
      </c>
      <c r="E14" s="109">
        <f>GETPIVOTDATA("Sum of System
Length",$A$3,"Group","CTL")</f>
        <v>0.3166666666511446</v>
      </c>
      <c r="F14" s="109"/>
      <c r="G14" s="109">
        <f>GETPIVOTDATA("Sum of System
Length",$A$3,"Group","SI")</f>
        <v>6.916666666511446</v>
      </c>
      <c r="H14" s="109"/>
      <c r="I14" s="109"/>
      <c r="J14" s="109">
        <f>GETPIVOTDATA("Sum of System
Length",$A$3,"Group","OA")</f>
        <v>2.4833333335700445</v>
      </c>
      <c r="K14" s="109">
        <f>GETPIVOTDATA("Sum of System
Length",$A$3,"Group","PHY")</f>
        <v>1.4833333332790062</v>
      </c>
      <c r="L14" s="109"/>
      <c r="M14" s="109"/>
      <c r="N14" s="109"/>
      <c r="O14" s="109"/>
      <c r="P14" s="110"/>
      <c r="Q14" s="110">
        <f>GETPIVOTDATA("Sum of System
Length",$A$3,"Group","IT")</f>
        <v>2.700000000069849</v>
      </c>
      <c r="R14" s="110">
        <f>GETPIVOTDATA("Sum of System
Length",$A$3,"Group","UNK")</f>
        <v>2.6833333333488554</v>
      </c>
      <c r="S14" s="110">
        <f>SUM(B14:R14)</f>
        <v>25.733333333570044</v>
      </c>
      <c r="T14" s="111"/>
    </row>
    <row r="15" spans="1:20" s="112" customFormat="1" ht="12.75">
      <c r="A15" s="106" t="s">
        <v>96</v>
      </c>
      <c r="B15" s="114">
        <f>IF(B14,SUM(B14/B24),"")</f>
        <v>0.004949811461042273</v>
      </c>
      <c r="C15" s="114">
        <f>IF(C14,SUM(C14/B24),"")</f>
        <v>0.0003186573902331103</v>
      </c>
      <c r="D15" s="114">
        <f>IF(D14,SUM(D14/B24),"")</f>
        <v>0.0005629613894006992</v>
      </c>
      <c r="E15" s="114">
        <f>IF(E14,SUM(E14/B24),"")</f>
        <v>0.00020181634711424957</v>
      </c>
      <c r="F15" s="114">
        <f>IF(F14,SUM(F14/B24),"")</f>
      </c>
      <c r="G15" s="114">
        <f>IF(G14,SUM(G14/B24),"")</f>
        <v>0.004408093897612599</v>
      </c>
      <c r="H15" s="114">
        <f>IF(H14,SUM(H14/B24),"")</f>
      </c>
      <c r="I15" s="114">
        <f>IF(I14,SUM(I14/B24),"")</f>
      </c>
      <c r="J15" s="114">
        <f>IF(J14,SUM(J14/B24),"")</f>
        <v>0.0015826650381243943</v>
      </c>
      <c r="K15" s="114">
        <f>IF(K14,SUM(K14/B24),"")</f>
        <v>0.0009453502575468839</v>
      </c>
      <c r="L15" s="114">
        <f>IF(L14,SUM(L14/B24),"")</f>
      </c>
      <c r="M15" s="114">
        <f>IF(M14,SUM(M14/B24),"")</f>
      </c>
      <c r="N15" s="114">
        <f>IF(N14,SUM(N14/B24),"")</f>
      </c>
      <c r="O15" s="114">
        <f>IF(O14,SUM(O14/B24),"")</f>
      </c>
      <c r="P15" s="114">
        <f>IF(P14,SUM(P14/B24),"")</f>
      </c>
      <c r="Q15" s="114">
        <f>IF(Q14,SUM(Q14/B24),"")</f>
        <v>0.0017207499071029899</v>
      </c>
      <c r="R15" s="114">
        <f>IF(R14,SUM(R14/B24),"")</f>
        <v>0.0017101279940618325</v>
      </c>
      <c r="S15" s="114">
        <f>IF(S14,SUM(S14/B24),"")</f>
        <v>0.016400233682239033</v>
      </c>
      <c r="T15" s="109">
        <f>IF(T14,SUM(T14/M13),"")</f>
      </c>
    </row>
    <row r="16" spans="1:20" ht="12.75">
      <c r="A16" s="106" t="s">
        <v>61</v>
      </c>
      <c r="B16" s="107">
        <f>'[1]reliabilitySummary'!$B$7</f>
        <v>0.005399999999999999</v>
      </c>
      <c r="C16" s="107">
        <f>'[1]reliabilitySummary'!$B$8</f>
        <v>0.0012</v>
      </c>
      <c r="D16" s="107">
        <f>'[1]reliabilitySummary'!$B$9</f>
        <v>0.005399999999999999</v>
      </c>
      <c r="E16" s="107">
        <f>'[1]reliabilitySummary'!$B$10</f>
        <v>0.003</v>
      </c>
      <c r="F16" s="107">
        <f>'[1]reliabilitySummary'!$B$13</f>
        <v>0.0006</v>
      </c>
      <c r="G16" s="107">
        <f>'[1]reliabilitySummary'!$B$14</f>
        <v>0.0006</v>
      </c>
      <c r="H16" s="107">
        <f>'[1]reliabilitySummary'!$B$15</f>
        <v>0.0006</v>
      </c>
      <c r="I16" s="107">
        <f>'[1]reliabilitySummary'!$B$16</f>
        <v>0.0036</v>
      </c>
      <c r="J16" s="107">
        <f>'[1]reliabilitySummary'!$B$18</f>
        <v>0.0012</v>
      </c>
      <c r="K16" s="107">
        <f>'[1]reliabilitySummary'!$B$19</f>
        <v>0</v>
      </c>
      <c r="L16" s="107">
        <f>'[1]reliabilitySummary'!$B$20</f>
        <v>0.0006</v>
      </c>
      <c r="M16" s="107">
        <f>'[1]reliabilitySummary'!$B$24</f>
        <v>0.0006</v>
      </c>
      <c r="N16" s="107">
        <f>'[1]reliabilitySummary'!$B$25</f>
        <v>0.0018</v>
      </c>
      <c r="O16" s="107">
        <f>'[1]reliabilitySummary'!$B$26</f>
        <v>0.0006</v>
      </c>
      <c r="P16" s="107">
        <f>'[1]reliabilitySummary'!$B$27</f>
        <v>0.0018</v>
      </c>
      <c r="Q16" s="107">
        <f>'[1]reliabilitySummary'!$B$11</f>
        <v>0.0012</v>
      </c>
      <c r="R16" s="107">
        <f>'[1]reliabilitySummary'!$B$28</f>
        <v>0.0006</v>
      </c>
      <c r="S16" s="107">
        <v>0.03</v>
      </c>
      <c r="T16" s="108"/>
    </row>
    <row r="18" spans="1:19" ht="13.5" thickBot="1">
      <c r="A18" s="115" t="s">
        <v>63</v>
      </c>
      <c r="B18">
        <f>GETPIVOTDATA("Sum of Store Lost",$A$3,"Group","RF")</f>
        <v>3</v>
      </c>
      <c r="C18">
        <f>GETPIVOTDATA("Sum of Store Lost",$A$3,"Group","DIA")</f>
        <v>1</v>
      </c>
      <c r="D18">
        <f>GETPIVOTDATA("Sum of Store Lost",$A$3,"Group","PS")</f>
        <v>1</v>
      </c>
      <c r="E18">
        <f>GETPIVOTDATA("Sum of Store Lost",$A$3,"Group","CTL")</f>
        <v>1</v>
      </c>
      <c r="G18">
        <f>GETPIVOTDATA("Sum of Store Lost",$A$3,"Group","SI")</f>
        <v>3</v>
      </c>
      <c r="J18">
        <f>GETPIVOTDATA("Sum of Store Lost",$A$3,"Group","OA")</f>
        <v>1</v>
      </c>
      <c r="K18">
        <f>GETPIVOTDATA("Sum of Store Lost",$A$3,"Group","PHY")</f>
        <v>1</v>
      </c>
      <c r="Q18">
        <f>GETPIVOTDATA("Sum of Store Lost",$A$3,"Group","IT")</f>
        <v>1</v>
      </c>
      <c r="R18">
        <f>GETPIVOTDATA("Sum of Store Lost",$A$3,"Group","UNK")</f>
        <v>5</v>
      </c>
      <c r="S18" s="110">
        <f>SUM(B18:R18)</f>
        <v>17</v>
      </c>
    </row>
    <row r="19" spans="2:19" ht="12.75">
      <c r="B19" s="102" t="s">
        <v>39</v>
      </c>
      <c r="C19" s="103" t="s">
        <v>47</v>
      </c>
      <c r="D19" s="103" t="s">
        <v>36</v>
      </c>
      <c r="E19" s="103" t="s">
        <v>48</v>
      </c>
      <c r="F19" s="103" t="s">
        <v>49</v>
      </c>
      <c r="G19" s="103" t="s">
        <v>50</v>
      </c>
      <c r="H19" s="103" t="s">
        <v>51</v>
      </c>
      <c r="I19" s="103" t="s">
        <v>65</v>
      </c>
      <c r="J19" s="103" t="s">
        <v>53</v>
      </c>
      <c r="K19" s="103" t="s">
        <v>54</v>
      </c>
      <c r="L19" s="103" t="s">
        <v>55</v>
      </c>
      <c r="M19" s="103" t="s">
        <v>56</v>
      </c>
      <c r="N19" s="103" t="s">
        <v>57</v>
      </c>
      <c r="O19" s="103" t="s">
        <v>58</v>
      </c>
      <c r="P19" s="103" t="s">
        <v>40</v>
      </c>
      <c r="Q19" s="165" t="s">
        <v>95</v>
      </c>
      <c r="R19" s="104" t="s">
        <v>59</v>
      </c>
      <c r="S19" s="110"/>
    </row>
    <row r="20" spans="1:19" ht="12.75">
      <c r="A20" s="106" t="s">
        <v>96</v>
      </c>
      <c r="B20" s="118">
        <f aca="true" t="shared" si="0" ref="B20:K20">B18/($B23/24)</f>
        <v>0.04665176401984002</v>
      </c>
      <c r="C20" s="118">
        <f t="shared" si="0"/>
        <v>0.015550588006613339</v>
      </c>
      <c r="D20" s="118">
        <f t="shared" si="0"/>
        <v>0.015550588006613339</v>
      </c>
      <c r="E20" s="118">
        <f t="shared" si="0"/>
        <v>0.015550588006613339</v>
      </c>
      <c r="F20" s="118">
        <f t="shared" si="0"/>
        <v>0</v>
      </c>
      <c r="G20" s="118">
        <f t="shared" si="0"/>
        <v>0.04665176401984002</v>
      </c>
      <c r="H20" s="118">
        <f t="shared" si="0"/>
        <v>0</v>
      </c>
      <c r="I20" s="118"/>
      <c r="J20" s="122">
        <f t="shared" si="0"/>
        <v>0.015550588006613339</v>
      </c>
      <c r="K20" s="122">
        <f t="shared" si="0"/>
        <v>0.015550588006613339</v>
      </c>
      <c r="L20" s="118">
        <f>L18/($B23/24)</f>
        <v>0</v>
      </c>
      <c r="M20" s="122"/>
      <c r="N20" s="118">
        <f>N18/($B23/24)</f>
        <v>0</v>
      </c>
      <c r="O20" s="119"/>
      <c r="P20" s="119"/>
      <c r="Q20" s="118">
        <f>Q18/($B23/24)</f>
        <v>0.015550588006613339</v>
      </c>
      <c r="R20" s="118">
        <f>R18/($B23/24)</f>
        <v>0.0777529400330667</v>
      </c>
      <c r="S20" s="118">
        <f>S18/($B23/24)</f>
        <v>0.2643599961124268</v>
      </c>
    </row>
    <row r="21" spans="1:20" ht="12.75">
      <c r="A21" s="116" t="s">
        <v>61</v>
      </c>
      <c r="B21" s="117">
        <f>'[1]reliabilitySummary'!$F$7</f>
        <v>0.12</v>
      </c>
      <c r="C21" s="117">
        <f>'[1]reliabilitySummary'!$F$8</f>
        <v>0.03</v>
      </c>
      <c r="D21" s="117">
        <f>'[1]reliabilitySummary'!$F$9</f>
        <v>0.12</v>
      </c>
      <c r="E21" s="117">
        <v>0.05</v>
      </c>
      <c r="F21" s="117">
        <v>0.01</v>
      </c>
      <c r="G21" s="117">
        <v>0.01</v>
      </c>
      <c r="H21" s="117">
        <v>0.02</v>
      </c>
      <c r="I21" s="117">
        <v>0.06</v>
      </c>
      <c r="J21" s="117">
        <v>0.02</v>
      </c>
      <c r="K21" s="113">
        <v>0</v>
      </c>
      <c r="L21" s="113">
        <v>0.01</v>
      </c>
      <c r="M21" s="113">
        <v>0.01</v>
      </c>
      <c r="N21" s="113">
        <v>0.01</v>
      </c>
      <c r="O21" s="113">
        <v>0.01</v>
      </c>
      <c r="P21" s="113">
        <v>0.02</v>
      </c>
      <c r="Q21" s="113">
        <v>0.01</v>
      </c>
      <c r="R21" s="113">
        <v>0.02</v>
      </c>
      <c r="S21" s="113">
        <f>SUM(B21:R21)</f>
        <v>0.5300000000000001</v>
      </c>
      <c r="T21" s="101"/>
    </row>
    <row r="23" spans="1:2" ht="12.75">
      <c r="A23" s="13" t="s">
        <v>11</v>
      </c>
      <c r="B23" s="112">
        <f>'Main Data'!D60</f>
        <v>1543.3499999995693</v>
      </c>
    </row>
    <row r="24" spans="1:2" ht="12.75">
      <c r="A24" s="120" t="s">
        <v>13</v>
      </c>
      <c r="B24" s="113">
        <f>'Main Data'!D62</f>
        <v>1569.0833333331393</v>
      </c>
    </row>
    <row r="28" ht="12.75">
      <c r="A28" s="9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U1" sqref="U1:Y66"/>
    </sheetView>
  </sheetViews>
  <sheetFormatPr defaultColWidth="9.140625" defaultRowHeight="12.75"/>
  <cols>
    <col min="21" max="21" width="37.421875" style="0" customWidth="1"/>
  </cols>
  <sheetData/>
  <printOptions/>
  <pageMargins left="0.75" right="0.75" top="1" bottom="1" header="0.5" footer="0.5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workbookViewId="0" topLeftCell="A1">
      <selection activeCell="AI45" sqref="AI4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Rod Gerig</Manager>
  <Company>ANL/APS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Flood</cp:lastModifiedBy>
  <cp:lastPrinted>2005-08-26T15:17:20Z</cp:lastPrinted>
  <dcterms:created xsi:type="dcterms:W3CDTF">1998-01-15T00:06:45Z</dcterms:created>
  <dcterms:modified xsi:type="dcterms:W3CDTF">2007-01-08T21:52:55Z</dcterms:modified>
  <cp:category>Downtime</cp:category>
  <cp:version/>
  <cp:contentType/>
  <cp:contentStatus/>
</cp:coreProperties>
</file>