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4" yWindow="65524" windowWidth="17208" windowHeight="5640" tabRatio="772" activeTab="3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8"/>
  </externalReference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Data'!$D$105</definedName>
    <definedName name="Mean_Time_Between_Faults">'Main Data'!$D$104</definedName>
    <definedName name="Number_of_Fills">'Main Data'!$D$97</definedName>
    <definedName name="Number_of_Intentional_Dumps">'Main Data'!$D$96</definedName>
    <definedName name="Number_of_Lost_Fills">'Main Data'!$D$95</definedName>
    <definedName name="_xlnm.Print_Area" localSheetId="3">'Faults Per Day'!$A$1:$W$67</definedName>
    <definedName name="_xlnm.Print_Area" localSheetId="0">'Main Data'!$A$2:$P$62</definedName>
    <definedName name="_xlnm.Print_Titles" localSheetId="0">'Main Data'!$5:$5</definedName>
    <definedName name="Refill_Time">'Main Data'!$D$1</definedName>
    <definedName name="Total_Schedule_Run_Length">'Main Data'!$D$101</definedName>
    <definedName name="Total_System_Downtime">'Main Data'!$K$97</definedName>
    <definedName name="Total_User_Beam">'Main Data'!$D$99</definedName>
    <definedName name="Total_User_Downtime">'Main Data'!$D$100</definedName>
    <definedName name="User_Beam_Days">'Main Data'!$E$99</definedName>
    <definedName name="X_ray_Availability">'Main Data'!$D$106</definedName>
  </definedNames>
  <calcPr fullCalcOnLoad="1"/>
  <pivotCaches>
    <pivotCache cacheId="4" r:id="rId5"/>
  </pivotCaches>
</workbook>
</file>

<file path=xl/sharedStrings.xml><?xml version="1.0" encoding="utf-8"?>
<sst xmlns="http://schemas.openxmlformats.org/spreadsheetml/2006/main" count="215" uniqueCount="89">
  <si>
    <t>Start</t>
  </si>
  <si>
    <t>End</t>
  </si>
  <si>
    <t>Length</t>
  </si>
  <si>
    <t>Fill #</t>
  </si>
  <si>
    <t>Cause</t>
  </si>
  <si>
    <t>Type</t>
  </si>
  <si>
    <t>Audit</t>
  </si>
  <si>
    <t>User 
Length</t>
  </si>
  <si>
    <t>Downtime</t>
  </si>
  <si>
    <t>User</t>
  </si>
  <si>
    <t>System</t>
  </si>
  <si>
    <t>Total User Beam</t>
  </si>
  <si>
    <t>Total User Downtime</t>
  </si>
  <si>
    <t>Total Schedule Run Length</t>
  </si>
  <si>
    <t>Number of Fills</t>
  </si>
  <si>
    <t>Number of Lost Fills</t>
  </si>
  <si>
    <t>Faults/Day of Delivered Beam</t>
  </si>
  <si>
    <t>X-ray Availability</t>
  </si>
  <si>
    <t>Number of Intentional Dumps</t>
  </si>
  <si>
    <t>Loss 
Reason</t>
  </si>
  <si>
    <t>DIN #</t>
  </si>
  <si>
    <t>System
Length</t>
  </si>
  <si>
    <t>Default Storage Ring Refill Time</t>
  </si>
  <si>
    <t>Refill Timing in Days</t>
  </si>
  <si>
    <t>Scheduled</t>
  </si>
  <si>
    <t>Description</t>
  </si>
  <si>
    <t>Store Lost</t>
  </si>
  <si>
    <t>SL</t>
  </si>
  <si>
    <t>Inhibits</t>
  </si>
  <si>
    <t>Mean Time Between Faults</t>
  </si>
  <si>
    <t xml:space="preserve">     </t>
  </si>
  <si>
    <t>&lt;-- This downtime includes Gaps Open</t>
  </si>
  <si>
    <t>Inhibits Beam</t>
  </si>
  <si>
    <t>TOTAL</t>
  </si>
  <si>
    <t>Intention. Dump</t>
  </si>
  <si>
    <t>User Beam days</t>
  </si>
  <si>
    <t>PS</t>
  </si>
  <si>
    <t>Group</t>
  </si>
  <si>
    <t>Int Dump: End of Period</t>
  </si>
  <si>
    <t>RF</t>
  </si>
  <si>
    <t>Other</t>
  </si>
  <si>
    <t>Grand Total</t>
  </si>
  <si>
    <t>Data</t>
  </si>
  <si>
    <t>Sum of Intention. Dump</t>
  </si>
  <si>
    <t>Sum of Inhibits Beam</t>
  </si>
  <si>
    <t>Sum of Store Lost</t>
  </si>
  <si>
    <t>Sum of System
Length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</si>
  <si>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</si>
  <si>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</si>
  <si>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</si>
  <si>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</si>
  <si>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</si>
  <si>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</si>
  <si>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</si>
  <si>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</si>
  <si>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</si>
  <si>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</si>
  <si>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</si>
  <si>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</si>
  <si>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Unidentified</t>
  </si>
  <si>
    <t>Total Hours</t>
  </si>
  <si>
    <t>Budget</t>
  </si>
  <si>
    <t>Hours for Run</t>
  </si>
  <si>
    <t xml:space="preserve">Faults </t>
  </si>
  <si>
    <t>MOM</t>
  </si>
  <si>
    <t>Replaced relay in raw PS, refill</t>
  </si>
  <si>
    <t>Network</t>
  </si>
  <si>
    <t>S6B:Q2 P.S. Problem [PS]</t>
  </si>
  <si>
    <t>Downtime for Run 2007-3</t>
  </si>
  <si>
    <t>Run 2007-3</t>
  </si>
  <si>
    <t>RF4 Ion Gauge trip  [RF]</t>
  </si>
  <si>
    <t>Pump trip          [MOM]</t>
  </si>
  <si>
    <t>CPU V Coil Failure  [PS]</t>
  </si>
  <si>
    <t>Human error         [OA]</t>
  </si>
  <si>
    <t xml:space="preserve">RF4 Ion Gauge trip  [RF] </t>
  </si>
  <si>
    <t>RTFB Heartbeat Err [CTL]</t>
  </si>
  <si>
    <t>RF S40 Cav. Vacuum  [RF]</t>
  </si>
  <si>
    <t>CTL</t>
  </si>
  <si>
    <t xml:space="preserve">  S7B:P0 BPM glitch [DIAG]</t>
  </si>
  <si>
    <t xml:space="preserve">  Human Error        [MOM]</t>
  </si>
  <si>
    <t xml:space="preserve">  Beam loss at Inj. [DIAG]</t>
  </si>
  <si>
    <t xml:space="preserve">  Beam lost at Inj.   [OA]</t>
  </si>
  <si>
    <t xml:space="preserve">  Beam lost at inj. [DIAG]</t>
  </si>
  <si>
    <t>Inhibits beam to user</t>
  </si>
  <si>
    <t>DIA</t>
  </si>
  <si>
    <t>OA</t>
  </si>
  <si>
    <t xml:space="preserve">  RF HV trip          [RF]</t>
  </si>
  <si>
    <t>105328-</t>
  </si>
  <si>
    <t>Linac RF issues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</si>
</sst>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mmm\-yyyy"/>
    <numFmt numFmtId="199" formatCode="[$€-2]\ #,##0.00_);[Red]\([$€-2]\ #,##0.00\)"/>
    <numFmt numFmtId="200" formatCode="m/d/yy\ h:mm;@"/>
    <numFmt numFmtId="201" formatCode="[$-409]dddd\,\ mmmm\ dd\,\ yyyy"/>
  </numFmts>
  <fonts count="1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27"/>
      <name val="Arial"/>
      <family val="0"/>
    </font>
    <font>
      <b/>
      <sz val="12"/>
      <name val="Arial"/>
      <family val="2"/>
    </font>
    <font>
      <b/>
      <sz val="17.25"/>
      <name val="Arial"/>
      <family val="2"/>
    </font>
    <font>
      <sz val="19.75"/>
      <name val="Arial"/>
      <family val="2"/>
    </font>
    <font>
      <sz val="31.25"/>
      <name val="Arial"/>
      <family val="0"/>
    </font>
    <font>
      <sz val="35.25"/>
      <name val="Arial"/>
      <family val="0"/>
    </font>
    <font>
      <sz val="12"/>
      <name val="Arial"/>
      <family val="2"/>
    </font>
    <font>
      <sz val="19.5"/>
      <name val="Arial"/>
      <family val="2"/>
    </font>
    <font>
      <b/>
      <sz val="39.25"/>
      <name val="Arial"/>
      <family val="0"/>
    </font>
    <font>
      <b/>
      <sz val="35.25"/>
      <name val="Arial"/>
      <family val="0"/>
    </font>
    <font>
      <b/>
      <sz val="15.75"/>
      <name val="Arial"/>
      <family val="2"/>
    </font>
    <font>
      <sz val="17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wrapText="1"/>
    </xf>
    <xf numFmtId="177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1" fillId="0" borderId="3" xfId="0" applyNumberFormat="1" applyFont="1" applyFill="1" applyBorder="1" applyAlignment="1">
      <alignment horizontal="center" textRotation="90"/>
    </xf>
    <xf numFmtId="2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189" fontId="1" fillId="0" borderId="3" xfId="0" applyNumberFormat="1" applyFont="1" applyFill="1" applyBorder="1" applyAlignment="1">
      <alignment horizontal="center" textRotation="9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89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167" fontId="0" fillId="0" borderId="0" xfId="21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1" fillId="0" borderId="3" xfId="0" applyFont="1" applyFill="1" applyBorder="1" applyAlignment="1">
      <alignment textRotation="90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center" textRotation="90"/>
    </xf>
    <xf numFmtId="189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 locked="0"/>
    </xf>
    <xf numFmtId="0" fontId="0" fillId="2" borderId="3" xfId="0" applyNumberFormat="1" applyFont="1" applyFill="1" applyBorder="1" applyAlignment="1" applyProtection="1">
      <alignment horizontal="left"/>
      <protection/>
    </xf>
    <xf numFmtId="2" fontId="0" fillId="0" borderId="3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 horizontal="right"/>
    </xf>
    <xf numFmtId="17" fontId="3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2" fontId="0" fillId="4" borderId="3" xfId="0" applyNumberFormat="1" applyFont="1" applyFill="1" applyBorder="1" applyAlignment="1">
      <alignment horizontal="right"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NumberFormat="1" applyFont="1" applyFill="1" applyBorder="1" applyAlignment="1">
      <alignment/>
    </xf>
    <xf numFmtId="177" fontId="0" fillId="4" borderId="3" xfId="0" applyNumberFormat="1" applyFont="1" applyFill="1" applyBorder="1" applyAlignment="1">
      <alignment horizontal="left"/>
    </xf>
    <xf numFmtId="177" fontId="0" fillId="4" borderId="3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center"/>
    </xf>
    <xf numFmtId="177" fontId="0" fillId="4" borderId="3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 applyProtection="1">
      <alignment/>
      <protection/>
    </xf>
    <xf numFmtId="0" fontId="0" fillId="4" borderId="3" xfId="0" applyNumberFormat="1" applyFont="1" applyFill="1" applyBorder="1" applyAlignment="1" applyProtection="1">
      <alignment horizontal="left"/>
      <protection/>
    </xf>
    <xf numFmtId="0" fontId="0" fillId="4" borderId="3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167" fontId="0" fillId="0" borderId="0" xfId="21" applyNumberFormat="1" applyFont="1" applyAlignment="1" applyProtection="1">
      <alignment vertical="top" wrapText="1"/>
      <protection locked="0"/>
    </xf>
    <xf numFmtId="2" fontId="0" fillId="0" borderId="0" xfId="21" applyNumberFormat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6" fillId="0" borderId="0" xfId="0" applyNumberFormat="1" applyFont="1" applyFill="1" applyAlignment="1">
      <alignment horizontal="right"/>
    </xf>
    <xf numFmtId="177" fontId="0" fillId="0" borderId="3" xfId="0" applyNumberFormat="1" applyFont="1" applyFill="1" applyBorder="1" applyAlignment="1">
      <alignment horizontal="left"/>
    </xf>
    <xf numFmtId="2" fontId="0" fillId="0" borderId="0" xfId="0" applyNumberFormat="1" applyBorder="1" applyAlignment="1" applyProtection="1">
      <alignment/>
      <protection locked="0"/>
    </xf>
    <xf numFmtId="0" fontId="0" fillId="0" borderId="3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8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177" fontId="0" fillId="5" borderId="3" xfId="0" applyNumberFormat="1" applyFont="1" applyFill="1" applyBorder="1" applyAlignment="1">
      <alignment/>
    </xf>
    <xf numFmtId="0" fontId="0" fillId="5" borderId="3" xfId="0" applyNumberFormat="1" applyFont="1" applyFill="1" applyBorder="1" applyAlignment="1">
      <alignment horizontal="center"/>
    </xf>
    <xf numFmtId="177" fontId="0" fillId="5" borderId="3" xfId="0" applyNumberFormat="1" applyFont="1" applyFill="1" applyBorder="1" applyAlignment="1">
      <alignment horizontal="center"/>
    </xf>
    <xf numFmtId="177" fontId="0" fillId="5" borderId="3" xfId="0" applyNumberFormat="1" applyFont="1" applyFill="1" applyBorder="1" applyAlignment="1">
      <alignment horizontal="left"/>
    </xf>
    <xf numFmtId="2" fontId="0" fillId="5" borderId="3" xfId="0" applyNumberFormat="1" applyFont="1" applyFill="1" applyBorder="1" applyAlignment="1">
      <alignment horizontal="right"/>
    </xf>
    <xf numFmtId="0" fontId="0" fillId="5" borderId="3" xfId="0" applyNumberFormat="1" applyFont="1" applyFill="1" applyBorder="1" applyAlignment="1" applyProtection="1">
      <alignment/>
      <protection/>
    </xf>
    <xf numFmtId="0" fontId="0" fillId="5" borderId="3" xfId="0" applyNumberFormat="1" applyFont="1" applyFill="1" applyBorder="1" applyAlignment="1" applyProtection="1">
      <alignment horizontal="left"/>
      <protection/>
    </xf>
    <xf numFmtId="177" fontId="0" fillId="6" borderId="3" xfId="0" applyNumberFormat="1" applyFont="1" applyFill="1" applyBorder="1" applyAlignment="1">
      <alignment/>
    </xf>
    <xf numFmtId="0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left"/>
    </xf>
    <xf numFmtId="2" fontId="0" fillId="6" borderId="3" xfId="0" applyNumberFormat="1" applyFont="1" applyFill="1" applyBorder="1" applyAlignment="1">
      <alignment horizontal="right"/>
    </xf>
    <xf numFmtId="0" fontId="0" fillId="6" borderId="3" xfId="0" applyNumberFormat="1" applyFont="1" applyFill="1" applyBorder="1" applyAlignment="1" applyProtection="1">
      <alignment/>
      <protection/>
    </xf>
    <xf numFmtId="0" fontId="0" fillId="6" borderId="3" xfId="0" applyNumberFormat="1" applyFont="1" applyFill="1" applyBorder="1" applyAlignment="1" applyProtection="1">
      <alignment horizontal="left"/>
      <protection/>
    </xf>
    <xf numFmtId="0" fontId="0" fillId="4" borderId="3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Run 2007-3 Downtime by System 
October 2- December 20, 2007
 Scheduled User Time =  1577 hours                                  
User downtime=  13.9 hours</a:t>
            </a:r>
          </a:p>
        </c:rich>
      </c:tx>
      <c:layout>
        <c:manualLayout>
          <c:xMode val="factor"/>
          <c:yMode val="factor"/>
          <c:x val="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9475"/>
          <c:w val="0.87375"/>
          <c:h val="0.88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Stats!$A$14</c:f>
              <c:strCache>
                <c:ptCount val="1"/>
                <c:pt idx="0">
                  <c:v>Hours for Run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Stats!$B$14:$R$14</c:f>
            </c:numRef>
          </c:val>
        </c:ser>
        <c:ser>
          <c:idx val="0"/>
          <c:order val="1"/>
          <c:tx>
            <c:strRef>
              <c:f>Stats!$A$15</c:f>
              <c:strCache>
                <c:ptCount val="1"/>
                <c:pt idx="0">
                  <c:v>Run 2007-3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0.001077996194945864</c:v>
                </c:pt>
                <c:pt idx="1">
                  <c:v>0.001384485309743406</c:v>
                </c:pt>
                <c:pt idx="2">
                  <c:v>0.0008349186218091221</c:v>
                </c:pt>
                <c:pt idx="3">
                  <c:v>0.0004438807863105056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0.0009723102936542792</c:v>
                </c:pt>
                <c:pt idx="8">
                  <c:v>0.004100612978307598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2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Stats!$B$16:$R$16</c:f>
              <c:numCache>
                <c:ptCount val="17"/>
                <c:pt idx="0">
                  <c:v>0.005399999999999999</c:v>
                </c:pt>
                <c:pt idx="1">
                  <c:v>0.0012</c:v>
                </c:pt>
                <c:pt idx="2">
                  <c:v>0.005399999999999999</c:v>
                </c:pt>
                <c:pt idx="3">
                  <c:v>0.003</c:v>
                </c:pt>
                <c:pt idx="4">
                  <c:v>0.0006</c:v>
                </c:pt>
                <c:pt idx="5">
                  <c:v>0.0006</c:v>
                </c:pt>
                <c:pt idx="6">
                  <c:v>0.0006</c:v>
                </c:pt>
                <c:pt idx="7">
                  <c:v>0.0036</c:v>
                </c:pt>
                <c:pt idx="8">
                  <c:v>0.0012</c:v>
                </c:pt>
                <c:pt idx="9">
                  <c:v>0</c:v>
                </c:pt>
                <c:pt idx="10">
                  <c:v>0.0006</c:v>
                </c:pt>
                <c:pt idx="11">
                  <c:v>0.0006</c:v>
                </c:pt>
                <c:pt idx="12">
                  <c:v>0.0018</c:v>
                </c:pt>
                <c:pt idx="13">
                  <c:v>0.0006</c:v>
                </c:pt>
                <c:pt idx="14">
                  <c:v>0.0018</c:v>
                </c:pt>
                <c:pt idx="15">
                  <c:v>0.0012</c:v>
                </c:pt>
                <c:pt idx="16">
                  <c:v>0.0006</c:v>
                </c:pt>
              </c:numCache>
            </c:numRef>
          </c:val>
        </c:ser>
        <c:axId val="43277116"/>
        <c:axId val="53949725"/>
      </c:bar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949725"/>
        <c:crosses val="autoZero"/>
        <c:auto val="1"/>
        <c:lblOffset val="80"/>
        <c:noMultiLvlLbl val="0"/>
      </c:catAx>
      <c:valAx>
        <c:axId val="53949725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43277116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3366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5925"/>
          <c:w val="0.12925"/>
          <c:h val="0.046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925" b="1" i="0" u="none" baseline="0">
                <a:latin typeface="Arial"/>
                <a:ea typeface="Arial"/>
                <a:cs typeface="Arial"/>
              </a:rPr>
              <a:t>Run 2007-3 Faults Per Day By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94"/>
          <c:w val="0.8327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Stats!$A$20</c:f>
              <c:strCache>
                <c:ptCount val="1"/>
                <c:pt idx="0">
                  <c:v>Run 2007-3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Stats!$B$19:$R$19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Stats!$B$20:$R$20</c:f>
              <c:numCache>
                <c:ptCount val="17"/>
                <c:pt idx="0">
                  <c:v>0.06141641609619709</c:v>
                </c:pt>
                <c:pt idx="1">
                  <c:v>0.06141641609619709</c:v>
                </c:pt>
                <c:pt idx="2">
                  <c:v>0.030708208048098547</c:v>
                </c:pt>
                <c:pt idx="3">
                  <c:v>0.015354104024049273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0.030708208048098547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Stats!$A$21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Stats!$B$19:$R$19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Stats!$B$21:$R$21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0.02</c:v>
                </c:pt>
              </c:numCache>
            </c:numRef>
          </c:val>
        </c:ser>
        <c:axId val="15785478"/>
        <c:axId val="7851575"/>
      </c:bar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7851575"/>
        <c:crosses val="autoZero"/>
        <c:auto val="1"/>
        <c:lblOffset val="100"/>
        <c:noMultiLvlLbl val="0"/>
      </c:catAx>
      <c:valAx>
        <c:axId val="785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25" b="1" i="0" u="none" baseline="0"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5785478"/>
        <c:crossesAt val="1"/>
        <c:crossBetween val="between"/>
        <c:dispUnits/>
      </c:valAx>
      <c:spPr>
        <a:gradFill rotWithShape="1">
          <a:gsLst>
            <a:gs pos="0">
              <a:srgbClr val="339966"/>
            </a:gs>
            <a:gs pos="100000">
              <a:srgbClr val="A5D2B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24725"/>
          <c:w val="0.0885"/>
          <c:h val="0.04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94</xdr:row>
      <xdr:rowOff>114300</xdr:rowOff>
    </xdr:from>
    <xdr:ext cx="85725" cy="171450"/>
    <xdr:sp>
      <xdr:nvSpPr>
        <xdr:cNvPr id="1" name="TextBox 1"/>
        <xdr:cNvSpPr txBox="1">
          <a:spLocks noChangeArrowheads="1"/>
        </xdr:cNvSpPr>
      </xdr:nvSpPr>
      <xdr:spPr>
        <a:xfrm>
          <a:off x="8648700" y="165163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123825</xdr:rowOff>
    </xdr:from>
    <xdr:ext cx="85725" cy="180975"/>
    <xdr:sp>
      <xdr:nvSpPr>
        <xdr:cNvPr id="2" name="TextBox 15"/>
        <xdr:cNvSpPr txBox="1">
          <a:spLocks noChangeArrowheads="1"/>
        </xdr:cNvSpPr>
      </xdr:nvSpPr>
      <xdr:spPr>
        <a:xfrm>
          <a:off x="8648700" y="92487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0.00025</cdr:x>
      <cdr:y>0.0445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590550</xdr:colOff>
      <xdr:row>65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12172950" cy="1064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23</xdr:col>
      <xdr:colOff>0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0" y="19050"/>
        <a:ext cx="14020800" cy="1071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7\2007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(2)"/>
      <sheetName val="Downtime chart"/>
      <sheetName val="Lost Stores FY chart"/>
      <sheetName val="summary"/>
    </sheetNames>
    <sheetDataSet>
      <sheetData sheetId="1">
        <row r="7">
          <cell r="B7">
            <v>0.005399999999999999</v>
          </cell>
          <cell r="F7">
            <v>0.12</v>
          </cell>
        </row>
        <row r="8">
          <cell r="B8">
            <v>0.0012</v>
          </cell>
          <cell r="F8">
            <v>0.03</v>
          </cell>
        </row>
        <row r="9">
          <cell r="B9">
            <v>0.005399999999999999</v>
          </cell>
          <cell r="F9">
            <v>0.12</v>
          </cell>
        </row>
        <row r="10">
          <cell r="B10">
            <v>0.003</v>
          </cell>
        </row>
        <row r="11">
          <cell r="B11">
            <v>0.0012</v>
          </cell>
        </row>
        <row r="13">
          <cell r="B13">
            <v>0.0006</v>
          </cell>
        </row>
        <row r="14">
          <cell r="B14">
            <v>0.0006</v>
          </cell>
        </row>
        <row r="15">
          <cell r="B15">
            <v>0.0006</v>
          </cell>
        </row>
        <row r="16">
          <cell r="B16">
            <v>0.0036</v>
          </cell>
        </row>
        <row r="18">
          <cell r="B18">
            <v>0.0012</v>
          </cell>
        </row>
        <row r="19">
          <cell r="B19">
            <v>0</v>
          </cell>
        </row>
        <row r="20">
          <cell r="B20">
            <v>0.0006</v>
          </cell>
        </row>
        <row r="24">
          <cell r="B24">
            <v>0.0006</v>
          </cell>
        </row>
        <row r="25">
          <cell r="B25">
            <v>0.0018</v>
          </cell>
        </row>
        <row r="26">
          <cell r="B26">
            <v>0.0006</v>
          </cell>
        </row>
        <row r="27">
          <cell r="B27">
            <v>0.0018</v>
          </cell>
        </row>
        <row r="28">
          <cell r="B28">
            <v>0.0006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5:T48" sheet="Main Data"/>
  </cacheSource>
  <cacheFields count="20">
    <cacheField name="Fill #">
      <sharedItems containsString="0" containsBlank="1" containsMixedTypes="0" containsNumber="1" containsInteger="1" count="27">
        <n v="1"/>
        <n v="2"/>
        <m/>
        <n v="3"/>
        <n v="4"/>
        <n v="5"/>
        <n v="6"/>
        <n v="7"/>
        <n v="8"/>
        <n v="9"/>
        <n v="10"/>
        <n v="11"/>
        <n v="12"/>
        <n v="13"/>
        <n v="14"/>
        <n v="16"/>
        <n v="17"/>
        <n v="18"/>
        <n v="19"/>
        <n v="24"/>
        <n v="25"/>
        <n v="26"/>
        <n v="27"/>
        <n v="28"/>
        <n v="29"/>
        <n v="30"/>
        <n v="31"/>
      </sharedItems>
    </cacheField>
    <cacheField name="Start">
      <sharedItems containsDate="1" containsString="0" containsBlank="1" containsMixedTypes="0" count="27">
        <d v="2007-10-02T08:00:00.000"/>
        <d v="2007-10-08T08:41:00.000"/>
        <m/>
        <d v="2007-10-10T08:00:00.000"/>
        <d v="2007-10-10T10:24:00.000"/>
        <d v="2007-10-14T18:55:00.000"/>
        <d v="2007-10-14T22:38:00.000"/>
        <d v="2007-10-17T08:00:00.000"/>
        <d v="2007-10-18T01:32:00.000"/>
        <d v="2007-10-24T08:00:00.000"/>
        <d v="2007-10-24T09:31:00.000"/>
        <d v="2007-10-24T22:00:00.000"/>
        <d v="2007-10-25T14:43:00.000"/>
        <d v="2007-10-31T08:00:00.000"/>
        <d v="2007-11-07T08:00:00.000"/>
        <d v="2007-11-14T08:48:00.000"/>
        <d v="2007-11-20T02:21:00.000"/>
        <d v="2007-11-20T10:20:00.000"/>
        <d v="2007-11-20T14:51:00.000"/>
        <d v="2007-11-21T04:26:00.000"/>
        <d v="2007-11-21T09:44:00.000"/>
        <d v="2007-11-23T08:00:00.000"/>
        <d v="2007-11-25T17:56:00.000"/>
        <d v="2007-11-28T08:00:00.000"/>
        <d v="2007-12-05T08:00:00.000"/>
        <d v="2007-12-12T08:00:00.000"/>
        <d v="2007-12-17T08:50:00.000"/>
      </sharedItems>
    </cacheField>
    <cacheField name="End">
      <sharedItems containsDate="1" containsString="0" containsBlank="1" containsMixedTypes="0" count="27">
        <d v="2007-10-08T07:44:00.000"/>
        <d v="2007-10-09T08:00:00.000"/>
        <m/>
        <d v="2007-10-10T10:05:00.000"/>
        <d v="2007-10-14T18:33:00.000"/>
        <d v="2007-10-14T22:11:00.000"/>
        <d v="2007-10-16T08:00:00.000"/>
        <d v="2007-10-18T00:24:00.000"/>
        <d v="2007-10-22T08:00:00.000"/>
        <d v="2007-10-24T09:14:00.000"/>
        <d v="2007-10-24T21:18:00.000"/>
        <d v="2007-10-25T14:29:00.000"/>
        <d v="2007-10-30T08:00:00.000"/>
        <d v="2007-11-06T08:00:00.000"/>
        <d v="2007-11-12T08:00:00.000"/>
        <d v="2007-11-20T02:01:00.000"/>
        <d v="2007-11-20T09:56:00.000"/>
        <d v="2007-11-20T14:32:00.000"/>
        <d v="2007-11-20T22:34:00.000"/>
        <d v="2007-11-21T09:25:00.000"/>
        <d v="2007-11-22T00:00:00.000"/>
        <d v="2007-11-25T17:35:00.000"/>
        <d v="2007-11-27T08:00:00.000"/>
        <d v="2007-12-04T08:00:00.000"/>
        <d v="2007-12-11T08:00:00.000"/>
        <d v="2007-12-17T07:45:00.000"/>
        <d v="2007-12-19T08:00:00.000"/>
      </sharedItems>
    </cacheField>
    <cacheField name="Length">
      <sharedItems containsMixedTypes="1" containsNumber="1"/>
    </cacheField>
    <cacheField name="Loss &#10;Reason">
      <sharedItems containsBlank="1" containsMixedTypes="0" count="16">
        <s v="S6B:Q2 P.S. Problem [PS]"/>
        <s v="Int Dump: End of Period"/>
        <m/>
        <s v="RF4 Ion Gauge trip  [RF]"/>
        <s v="CPU V Coil Failure  [PS]"/>
        <s v="Human error         [OA]"/>
        <s v="Pump trip          [MOM]"/>
        <s v="RF4 Ion Gauge trip  [RF] "/>
        <s v="RTFB Heartbeat Err [CTL]"/>
        <s v="RF S40 Cav. Vacuum  [RF]"/>
        <s v="  Beam loss at Inj. [DIAG]"/>
        <s v="  S7B:P0 BPM glitch [DIAG]"/>
        <s v="  Human Error        [MOM]"/>
        <s v="  Beam lost at Inj.   [OA]"/>
        <s v="  Beam lost at inj. [DIAG]"/>
        <s v="  RF HV trip          [RF]"/>
      </sharedItems>
    </cacheField>
    <cacheField name="DIN #">
      <sharedItems containsBlank="1" containsMixedTypes="1" containsNumber="1" containsInteger="1" count="18">
        <n v="105311"/>
        <m/>
        <n v="105312"/>
        <n v="105314"/>
        <n v="105316"/>
        <n v="105317"/>
        <n v="105318"/>
        <n v="105319"/>
        <n v="105320"/>
        <n v="105324"/>
        <n v="105325"/>
        <n v="105326"/>
        <n v="105327"/>
        <s v="105328-"/>
        <n v="105334"/>
        <n v="105335"/>
        <n v="105336"/>
        <n v="105345"/>
      </sharedItems>
    </cacheField>
    <cacheField name="Audit">
      <sharedItems containsString="0" containsBlank="1" count="1">
        <m/>
      </sharedItems>
    </cacheField>
    <cacheField name="Start2">
      <sharedItems containsDate="1" containsString="0" containsBlank="1" containsMixedTypes="0" count="20">
        <d v="2007-10-08T07:44:00.000"/>
        <m/>
        <d v="2007-10-10T10:05:00.000"/>
        <d v="2007-10-14T18:33:00.000"/>
        <d v="2007-10-14T22:11:00.000"/>
        <d v="2007-10-18T00:24:00.000"/>
        <d v="2007-10-24T09:14:00.000"/>
        <d v="2007-10-24T21:18:00.000"/>
        <d v="2007-10-25T14:29:00.000"/>
        <d v="2007-11-14T08:00:00.000"/>
        <d v="2007-11-20T02:01:00.000"/>
        <d v="2007-11-20T09:56:00.000"/>
        <d v="2007-11-20T14:32:00.000"/>
        <d v="2007-11-20T22:34:00.000"/>
        <d v="2007-11-21T04:05:00.000"/>
        <d v="2007-11-21T09:25:00.000"/>
        <d v="2007-11-25T17:35:00.000"/>
        <d v="2007-12-17T07:45:00.000"/>
        <d v="2007-12-17T08:10:00.000"/>
        <d v="2007-12-17T08:20:00.000"/>
      </sharedItems>
    </cacheField>
    <cacheField name="End2">
      <sharedItems containsDate="1" containsString="0" containsBlank="1" containsMixedTypes="0" count="20">
        <d v="2007-10-08T08:41:00.000"/>
        <m/>
        <d v="2007-10-10T10:24:00.000"/>
        <d v="2007-10-14T18:55:00.000"/>
        <d v="2007-10-14T22:38:00.000"/>
        <d v="2007-10-18T01:32:00.000"/>
        <d v="2007-10-24T09:31:00.000"/>
        <d v="2007-10-24T22:00:00.000"/>
        <d v="2007-10-25T14:43:00.000"/>
        <d v="2007-11-14T08:48:00.000"/>
        <d v="2007-11-20T02:21:00.000"/>
        <d v="2007-11-20T10:20:00.000"/>
        <d v="2007-11-20T14:51:00.000"/>
        <d v="2007-11-21T04:26:00.000"/>
        <d v="2007-11-21T04:05:00.000"/>
        <d v="2007-11-21T09:44:00.000"/>
        <d v="2007-11-25T17:56:00.000"/>
        <d v="2007-12-17T08:50:00.000"/>
        <d v="2007-12-17T08:10:00.000"/>
        <d v="2007-12-17T08:20:00.000"/>
      </sharedItems>
    </cacheField>
    <cacheField name="User &#10;Length">
      <sharedItems containsString="0" containsBlank="1" containsMixedTypes="0" containsNumber="1" count="19">
        <n v="0.9499999999534339"/>
        <n v="0"/>
        <n v="0.3166666666511446"/>
        <n v="0.3666666666395031"/>
        <n v="0.4500000000698492"/>
        <n v="1.133333333360497"/>
        <n v="1.133333333185874"/>
        <n v="0.283333333209157"/>
        <n v="0.7000000000116415"/>
        <n v="0.23333333322079852"/>
        <n v="1.216666666441597"/>
        <n v="0.7999999999883585"/>
        <n v="0.33333333337213844"/>
        <n v="0.39999999990686774"/>
        <n v="5.866666666581295"/>
        <m/>
        <n v="8.03333333315095"/>
        <n v="0.3499999999185093"/>
        <n v="1.0833333333721384"/>
      </sharedItems>
    </cacheField>
    <cacheField name="System&#10;Length">
      <sharedItems containsString="0" containsBlank="1" containsMixedTypes="0" containsNumber="1" count="22">
        <n v="0.9499999999534339"/>
        <n v="0"/>
        <n v="0.3166666666511446"/>
        <n v="0.3666666666395031"/>
        <n v="0.4500000000698492"/>
        <n v="1.133333333360497"/>
        <n v="1.133333333185874"/>
        <n v="0.283333333209157"/>
        <n v="0.7000000000116415"/>
        <n v="0.23333333322079852"/>
        <n v="1.216666666441597"/>
        <n v="0.7999999999883585"/>
        <n v="0.33333333337213844"/>
        <n v="0.39999999990686774"/>
        <m/>
        <n v="5.516666666662786"/>
        <n v="0.3499999999185093"/>
        <n v="8.03333333315095"/>
        <n v="0.41666666680248454"/>
        <n v="0.16666666651144624"/>
        <n v="0.5000000000582077"/>
        <n v="1.0833333333721384"/>
      </sharedItems>
    </cacheField>
    <cacheField name="Cause">
      <sharedItems containsBlank="1" containsMixedTypes="0" count="8">
        <s v="PS"/>
        <s v="Scheduled"/>
        <m/>
        <s v="RF"/>
        <s v="OA"/>
        <s v="MOM"/>
        <s v="CTL"/>
        <s v="DIA"/>
      </sharedItems>
    </cacheField>
    <cacheField name="System">
      <sharedItems containsBlank="1" containsMixedTypes="0" count="7">
        <s v="PS"/>
        <m/>
        <s v="RF"/>
        <s v="OA"/>
        <s v="MOM"/>
        <s v="CTL"/>
        <s v="DIA"/>
      </sharedItems>
    </cacheField>
    <cacheField name="Group">
      <sharedItems containsBlank="1" containsMixedTypes="0" count="18">
        <s v="PS"/>
        <m/>
        <s v="RF"/>
        <s v="OA"/>
        <s v="MOM"/>
        <s v="CTL"/>
        <s v="DIA"/>
        <s v="IT"/>
        <s v="ME"/>
        <s v="OAG"/>
        <s v="OPS"/>
        <s v="Other"/>
        <s v="PFS"/>
        <s v="PHY"/>
        <s v="SI"/>
        <s v="UES"/>
        <s v="UNK"/>
        <s v="XFD"/>
      </sharedItems>
    </cacheField>
    <cacheField name="Type">
      <sharedItems containsBlank="1" containsMixedTypes="0" count="3">
        <s v="Store Lost"/>
        <m/>
        <s v="Inhibits beam to user"/>
      </sharedItems>
    </cacheField>
    <cacheField name="Description">
      <sharedItems containsBlank="1" containsMixedTypes="0" count="3">
        <s v="Replaced relay in raw PS, refill"/>
        <m/>
        <s v="Linac RF issues"/>
      </sharedItems>
    </cacheField>
    <cacheField name="Store Lost">
      <sharedItems containsMixedTypes="1" containsNumber="1" containsInteger="1" count="2">
        <n v="1"/>
        <s v=""/>
      </sharedItems>
    </cacheField>
    <cacheField name="Intention. Dump">
      <sharedItems containsMixedTypes="1" containsNumber="1" containsInteger="1" count="2">
        <s v=""/>
        <n v="1"/>
      </sharedItems>
    </cacheField>
    <cacheField name="Inhibits Beam">
      <sharedItems containsMixedTypes="1" containsNumber="1" containsInteger="1" count="2">
        <s v=""/>
        <n v="1"/>
      </sharedItems>
    </cacheField>
    <cacheField name="TOTAL">
      <sharedItems containsSemiMixedTypes="0" containsString="0" containsMixedTypes="0" containsNumber="1" containsInteger="1" count="2">
        <n v="1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8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9">
        <item x="5"/>
        <item m="1" x="9"/>
        <item m="1" x="11"/>
        <item x="0"/>
        <item x="2"/>
        <item m="1" x="15"/>
        <item m="1" x="16"/>
        <item m="1" x="17"/>
        <item h="1" x="1"/>
        <item m="1" x="8"/>
        <item m="1" x="10"/>
        <item m="1" x="14"/>
        <item x="4"/>
        <item x="6"/>
        <item m="1" x="12"/>
        <item x="3"/>
        <item m="1" x="13"/>
        <item m="1"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13"/>
  </colFields>
  <colItems count="7">
    <i>
      <x/>
    </i>
    <i>
      <x v="3"/>
    </i>
    <i>
      <x v="4"/>
    </i>
    <i>
      <x v="12"/>
    </i>
    <i>
      <x v="13"/>
    </i>
    <i>
      <x v="15"/>
    </i>
    <i t="grand">
      <x/>
    </i>
  </colItems>
  <dataFields count="4">
    <dataField name="Sum of Inhibits Beam" fld="18" baseField="0" baseItem="0"/>
    <dataField name="Sum of Intention. Dump" fld="17" baseField="0" baseItem="0"/>
    <dataField name="Sum of Store Lost" fld="16" baseField="0" baseItem="0"/>
    <dataField name="Sum of System&#10;Length" fld="10" baseField="0" baseItem="0" numFmtId="2"/>
  </dataFields>
  <formats count="1"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143"/>
  <sheetViews>
    <sheetView zoomScale="75" zoomScaleNormal="75" workbookViewId="0" topLeftCell="A1">
      <pane ySplit="5" topLeftCell="BM3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29" customWidth="1"/>
    <col min="2" max="2" width="16.140625" style="18" bestFit="1" customWidth="1"/>
    <col min="3" max="3" width="14.421875" style="18" customWidth="1"/>
    <col min="4" max="4" width="7.7109375" style="21" customWidth="1"/>
    <col min="5" max="5" width="27.57421875" style="22" customWidth="1"/>
    <col min="6" max="6" width="9.421875" style="50" customWidth="1"/>
    <col min="7" max="7" width="3.28125" style="48" customWidth="1"/>
    <col min="8" max="8" width="14.421875" style="31" customWidth="1"/>
    <col min="9" max="9" width="14.28125" style="31" customWidth="1"/>
    <col min="10" max="10" width="7.7109375" style="21" customWidth="1"/>
    <col min="11" max="11" width="7.8515625" style="34" customWidth="1"/>
    <col min="12" max="12" width="11.421875" style="60" customWidth="1"/>
    <col min="13" max="13" width="13.28125" style="61" customWidth="1"/>
    <col min="14" max="14" width="11.421875" style="61" customWidth="1"/>
    <col min="15" max="15" width="22.00390625" style="60" customWidth="1"/>
    <col min="16" max="16" width="69.28125" style="9" customWidth="1"/>
    <col min="17" max="19" width="5.8515625" style="1" customWidth="1"/>
    <col min="20" max="16384" width="9.140625" style="1" customWidth="1"/>
  </cols>
  <sheetData>
    <row r="1" spans="1:24" ht="12.75">
      <c r="A1" s="16" t="s">
        <v>22</v>
      </c>
      <c r="B1" s="15"/>
      <c r="C1" s="15"/>
      <c r="D1" s="7">
        <v>0.25</v>
      </c>
      <c r="E1" s="13" t="s">
        <v>30</v>
      </c>
      <c r="F1" s="14"/>
      <c r="G1" s="47"/>
      <c r="H1" s="30"/>
      <c r="I1" s="30"/>
      <c r="J1" s="7"/>
      <c r="K1" s="32"/>
      <c r="L1" s="54"/>
      <c r="M1" s="55"/>
      <c r="N1" s="55"/>
      <c r="O1" s="54"/>
      <c r="P1" s="8"/>
      <c r="W1" s="6" t="s">
        <v>23</v>
      </c>
      <c r="X1" s="1">
        <f>D1/24</f>
        <v>0.010416666666666666</v>
      </c>
    </row>
    <row r="2" spans="1:16" ht="24">
      <c r="A2" s="151" t="s">
        <v>68</v>
      </c>
      <c r="B2" s="151"/>
      <c r="C2" s="151"/>
      <c r="D2" s="151"/>
      <c r="E2" s="151"/>
      <c r="F2" s="151"/>
      <c r="G2" s="151"/>
      <c r="H2" s="151"/>
      <c r="I2" s="151"/>
      <c r="J2" s="45"/>
      <c r="K2" s="45"/>
      <c r="L2" s="56"/>
      <c r="M2" s="57"/>
      <c r="N2" s="57"/>
      <c r="O2" s="56"/>
      <c r="P2" s="8"/>
    </row>
    <row r="3" spans="1:20" s="3" customFormat="1" ht="12.75">
      <c r="A3" s="28"/>
      <c r="B3" s="15"/>
      <c r="C3" s="15"/>
      <c r="D3" s="7"/>
      <c r="E3" s="13"/>
      <c r="F3" s="49"/>
      <c r="G3" s="47"/>
      <c r="H3" s="30"/>
      <c r="I3" s="30"/>
      <c r="J3" s="7"/>
      <c r="K3" s="32"/>
      <c r="L3" s="54"/>
      <c r="M3" s="55"/>
      <c r="N3" s="55"/>
      <c r="O3" s="54"/>
      <c r="P3" s="8"/>
      <c r="Q3" s="1"/>
      <c r="R3" s="1"/>
      <c r="S3" s="1"/>
      <c r="T3" s="1"/>
    </row>
    <row r="4" spans="1:20" s="3" customFormat="1" ht="12.75">
      <c r="A4" s="28"/>
      <c r="B4" s="15"/>
      <c r="C4" s="15"/>
      <c r="D4" s="7"/>
      <c r="E4" s="13"/>
      <c r="F4" s="49"/>
      <c r="G4" s="47"/>
      <c r="H4" s="30"/>
      <c r="I4" s="30"/>
      <c r="J4" s="7"/>
      <c r="K4" s="32"/>
      <c r="L4" s="54"/>
      <c r="M4" s="55"/>
      <c r="N4" s="55"/>
      <c r="O4" s="54"/>
      <c r="P4" s="8"/>
      <c r="Q4" s="1"/>
      <c r="R4" s="1"/>
      <c r="S4" s="1"/>
      <c r="T4" s="1"/>
    </row>
    <row r="5" spans="1:20" s="3" customFormat="1" ht="81" customHeight="1">
      <c r="A5" s="36" t="s">
        <v>3</v>
      </c>
      <c r="B5" s="38" t="s">
        <v>0</v>
      </c>
      <c r="C5" s="38" t="s">
        <v>1</v>
      </c>
      <c r="D5" s="23" t="s">
        <v>2</v>
      </c>
      <c r="E5" s="37" t="s">
        <v>19</v>
      </c>
      <c r="F5" s="36" t="s">
        <v>20</v>
      </c>
      <c r="G5" s="10" t="s">
        <v>6</v>
      </c>
      <c r="H5" s="38" t="s">
        <v>0</v>
      </c>
      <c r="I5" s="38" t="s">
        <v>1</v>
      </c>
      <c r="J5" s="23" t="s">
        <v>7</v>
      </c>
      <c r="K5" s="27" t="s">
        <v>21</v>
      </c>
      <c r="L5" s="58" t="s">
        <v>4</v>
      </c>
      <c r="M5" s="59" t="s">
        <v>10</v>
      </c>
      <c r="N5" s="59" t="s">
        <v>37</v>
      </c>
      <c r="O5" s="58" t="s">
        <v>5</v>
      </c>
      <c r="P5" s="11" t="s">
        <v>25</v>
      </c>
      <c r="Q5" s="43" t="s">
        <v>26</v>
      </c>
      <c r="R5" s="43" t="s">
        <v>34</v>
      </c>
      <c r="S5" s="43" t="s">
        <v>32</v>
      </c>
      <c r="T5" s="52" t="s">
        <v>33</v>
      </c>
    </row>
    <row r="6" spans="1:23" s="82" customFormat="1" ht="12.75">
      <c r="A6" s="89">
        <v>1</v>
      </c>
      <c r="B6" s="83">
        <v>39357.333333333336</v>
      </c>
      <c r="C6" s="83">
        <v>39363.322222222225</v>
      </c>
      <c r="D6" s="78">
        <f>(C6-B6)*24</f>
        <v>143.7333333333372</v>
      </c>
      <c r="E6" s="84" t="s">
        <v>67</v>
      </c>
      <c r="F6" s="85">
        <v>105311</v>
      </c>
      <c r="G6" s="86"/>
      <c r="H6" s="83">
        <v>39363.322222222225</v>
      </c>
      <c r="I6" s="83">
        <v>39363.361805555556</v>
      </c>
      <c r="J6" s="78">
        <f>(I6-H6)*24</f>
        <v>0.9499999999534339</v>
      </c>
      <c r="K6" s="78">
        <f>(I6-H6)*24</f>
        <v>0.9499999999534339</v>
      </c>
      <c r="L6" s="87" t="s">
        <v>36</v>
      </c>
      <c r="M6" s="87" t="s">
        <v>36</v>
      </c>
      <c r="N6" s="87" t="s">
        <v>36</v>
      </c>
      <c r="O6" s="88" t="s">
        <v>26</v>
      </c>
      <c r="P6" s="84" t="s">
        <v>65</v>
      </c>
      <c r="Q6" s="79">
        <f aca="true" t="shared" si="0" ref="Q6:Q49">IF($O6="Store Lost",1,"")</f>
        <v>1</v>
      </c>
      <c r="R6" s="79">
        <f aca="true" t="shared" si="1" ref="R6:R48">IF($L6="Scheduled",1,"")</f>
      </c>
      <c r="S6" s="79">
        <f aca="true" t="shared" si="2" ref="S6:S48">IF($O6="Inhibits beam to user",1,"")</f>
      </c>
      <c r="T6" s="80">
        <f aca="true" t="shared" si="3" ref="T6:T13">SUM(Q6:S6)</f>
        <v>1</v>
      </c>
      <c r="U6" s="81"/>
      <c r="V6" s="81"/>
      <c r="W6" s="81"/>
    </row>
    <row r="7" spans="1:23" s="73" customFormat="1" ht="12.75">
      <c r="A7" s="120">
        <v>2</v>
      </c>
      <c r="B7" s="118">
        <v>39363.361805555556</v>
      </c>
      <c r="C7" s="118">
        <v>39364.333333333336</v>
      </c>
      <c r="D7" s="72">
        <f>(C7-B7)*24</f>
        <v>23.316666666709352</v>
      </c>
      <c r="E7" s="121" t="s">
        <v>38</v>
      </c>
      <c r="F7" s="122"/>
      <c r="G7" s="123"/>
      <c r="H7" s="118"/>
      <c r="I7" s="118"/>
      <c r="J7" s="72">
        <f>(I7-H7)*24</f>
        <v>0</v>
      </c>
      <c r="K7" s="72">
        <f>(I7-H7)*24</f>
        <v>0</v>
      </c>
      <c r="L7" s="124" t="s">
        <v>24</v>
      </c>
      <c r="M7" s="124"/>
      <c r="N7" s="124"/>
      <c r="O7" s="125"/>
      <c r="P7" s="121"/>
      <c r="Q7" s="79">
        <f t="shared" si="0"/>
      </c>
      <c r="R7" s="79">
        <f t="shared" si="1"/>
        <v>1</v>
      </c>
      <c r="S7" s="79">
        <f t="shared" si="2"/>
      </c>
      <c r="T7" s="80">
        <f t="shared" si="3"/>
        <v>1</v>
      </c>
      <c r="U7" s="3"/>
      <c r="V7" s="3"/>
      <c r="W7" s="3"/>
    </row>
    <row r="8" spans="1:23" s="73" customFormat="1" ht="12.75">
      <c r="A8" s="63"/>
      <c r="B8" s="64"/>
      <c r="C8" s="64"/>
      <c r="D8" s="65">
        <f>SUM(D6:D7)</f>
        <v>167.05000000004657</v>
      </c>
      <c r="E8" s="66"/>
      <c r="F8" s="67"/>
      <c r="G8" s="68"/>
      <c r="H8" s="64"/>
      <c r="I8" s="64"/>
      <c r="J8" s="65">
        <f>SUM(J6:J7)</f>
        <v>0.9499999999534339</v>
      </c>
      <c r="K8" s="65">
        <f>SUM(K6:K7)</f>
        <v>0.9499999999534339</v>
      </c>
      <c r="L8" s="69"/>
      <c r="M8" s="70"/>
      <c r="N8" s="70"/>
      <c r="O8" s="71"/>
      <c r="P8" s="66"/>
      <c r="Q8" s="79">
        <f t="shared" si="0"/>
      </c>
      <c r="R8" s="79">
        <f t="shared" si="1"/>
      </c>
      <c r="S8" s="79">
        <f t="shared" si="2"/>
      </c>
      <c r="T8" s="80">
        <f t="shared" si="3"/>
        <v>0</v>
      </c>
      <c r="U8" s="3"/>
      <c r="V8" s="3"/>
      <c r="W8" s="3"/>
    </row>
    <row r="9" spans="1:23" s="82" customFormat="1" ht="12.75">
      <c r="A9" s="89">
        <v>3</v>
      </c>
      <c r="B9" s="83">
        <v>39365.333333333336</v>
      </c>
      <c r="C9" s="83">
        <v>39365.42013888889</v>
      </c>
      <c r="D9" s="78">
        <f>(C9-B9)*24</f>
        <v>2.083333333313931</v>
      </c>
      <c r="E9" s="84" t="s">
        <v>70</v>
      </c>
      <c r="F9" s="85">
        <v>105312</v>
      </c>
      <c r="G9" s="86"/>
      <c r="H9" s="83">
        <v>39365.42013888889</v>
      </c>
      <c r="I9" s="83">
        <v>39365.433333333334</v>
      </c>
      <c r="J9" s="78">
        <f>(I9-H9)*24</f>
        <v>0.3166666666511446</v>
      </c>
      <c r="K9" s="78">
        <f>(I9-H9)*24</f>
        <v>0.3166666666511446</v>
      </c>
      <c r="L9" s="87" t="s">
        <v>39</v>
      </c>
      <c r="M9" s="87" t="s">
        <v>39</v>
      </c>
      <c r="N9" s="87" t="s">
        <v>39</v>
      </c>
      <c r="O9" s="88" t="s">
        <v>26</v>
      </c>
      <c r="P9" s="84"/>
      <c r="Q9" s="79">
        <f t="shared" si="0"/>
        <v>1</v>
      </c>
      <c r="R9" s="79">
        <f t="shared" si="1"/>
      </c>
      <c r="S9" s="79">
        <f t="shared" si="2"/>
      </c>
      <c r="T9" s="80">
        <f t="shared" si="3"/>
        <v>1</v>
      </c>
      <c r="U9" s="81"/>
      <c r="V9" s="81"/>
      <c r="W9" s="81"/>
    </row>
    <row r="10" spans="1:23" s="73" customFormat="1" ht="12.75">
      <c r="A10" s="120">
        <v>4</v>
      </c>
      <c r="B10" s="118">
        <v>39365.433333333334</v>
      </c>
      <c r="C10" s="118">
        <v>39369.77291666667</v>
      </c>
      <c r="D10" s="72">
        <f>(C10-B10)*24</f>
        <v>104.15000000002328</v>
      </c>
      <c r="E10" s="121" t="s">
        <v>72</v>
      </c>
      <c r="F10" s="122">
        <v>105314</v>
      </c>
      <c r="G10" s="123"/>
      <c r="H10" s="118">
        <v>39369.77291666667</v>
      </c>
      <c r="I10" s="118">
        <v>39369.788194444445</v>
      </c>
      <c r="J10" s="72">
        <f>(I10-H10)*24</f>
        <v>0.3666666666395031</v>
      </c>
      <c r="K10" s="72">
        <f>(I10-H10)*24</f>
        <v>0.3666666666395031</v>
      </c>
      <c r="L10" s="124" t="s">
        <v>36</v>
      </c>
      <c r="M10" s="124" t="s">
        <v>36</v>
      </c>
      <c r="N10" s="124" t="s">
        <v>36</v>
      </c>
      <c r="O10" s="125" t="s">
        <v>26</v>
      </c>
      <c r="P10" s="121"/>
      <c r="Q10" s="79">
        <f t="shared" si="0"/>
        <v>1</v>
      </c>
      <c r="R10" s="79">
        <f t="shared" si="1"/>
      </c>
      <c r="S10" s="79">
        <f t="shared" si="2"/>
      </c>
      <c r="T10" s="80">
        <f t="shared" si="3"/>
        <v>1</v>
      </c>
      <c r="U10" s="3"/>
      <c r="V10" s="3"/>
      <c r="W10" s="3"/>
    </row>
    <row r="11" spans="1:23" s="82" customFormat="1" ht="12.75">
      <c r="A11" s="89">
        <v>5</v>
      </c>
      <c r="B11" s="83">
        <v>39369.788194444445</v>
      </c>
      <c r="C11" s="83">
        <v>39369.924305555556</v>
      </c>
      <c r="D11" s="78">
        <f>(C11-B11)*24</f>
        <v>3.266666666662786</v>
      </c>
      <c r="E11" s="84" t="s">
        <v>73</v>
      </c>
      <c r="F11" s="85">
        <v>105316</v>
      </c>
      <c r="G11" s="86"/>
      <c r="H11" s="83">
        <v>39369.924305555556</v>
      </c>
      <c r="I11" s="83">
        <v>39369.94305555556</v>
      </c>
      <c r="J11" s="78">
        <f>(I11-H11)*24</f>
        <v>0.4500000000698492</v>
      </c>
      <c r="K11" s="78">
        <f>(I11-H11)*24</f>
        <v>0.4500000000698492</v>
      </c>
      <c r="L11" s="87" t="s">
        <v>85</v>
      </c>
      <c r="M11" s="87" t="s">
        <v>85</v>
      </c>
      <c r="N11" s="87" t="s">
        <v>85</v>
      </c>
      <c r="O11" s="88" t="s">
        <v>26</v>
      </c>
      <c r="P11" s="84"/>
      <c r="Q11" s="79">
        <f t="shared" si="0"/>
        <v>1</v>
      </c>
      <c r="R11" s="79">
        <f t="shared" si="1"/>
      </c>
      <c r="S11" s="79">
        <f t="shared" si="2"/>
      </c>
      <c r="T11" s="80">
        <f t="shared" si="3"/>
        <v>1</v>
      </c>
      <c r="U11" s="81"/>
      <c r="V11" s="81"/>
      <c r="W11" s="81"/>
    </row>
    <row r="12" spans="1:23" s="73" customFormat="1" ht="12.75">
      <c r="A12" s="120">
        <v>6</v>
      </c>
      <c r="B12" s="118">
        <v>39369.94305555556</v>
      </c>
      <c r="C12" s="118">
        <v>39371.333333333336</v>
      </c>
      <c r="D12" s="72">
        <f>(C12-B12)*24</f>
        <v>33.3666666666395</v>
      </c>
      <c r="E12" s="121" t="s">
        <v>38</v>
      </c>
      <c r="F12" s="122"/>
      <c r="G12" s="123"/>
      <c r="H12" s="118"/>
      <c r="I12" s="118"/>
      <c r="J12" s="72">
        <f>(I12-H12)*24</f>
        <v>0</v>
      </c>
      <c r="K12" s="72">
        <f>(I12-H12)*24</f>
        <v>0</v>
      </c>
      <c r="L12" s="124" t="s">
        <v>24</v>
      </c>
      <c r="M12" s="124"/>
      <c r="N12" s="124"/>
      <c r="O12" s="125"/>
      <c r="P12" s="121"/>
      <c r="Q12" s="79">
        <f t="shared" si="0"/>
      </c>
      <c r="R12" s="79">
        <f t="shared" si="1"/>
        <v>1</v>
      </c>
      <c r="S12" s="79">
        <f t="shared" si="2"/>
      </c>
      <c r="T12" s="80">
        <f t="shared" si="3"/>
        <v>1</v>
      </c>
      <c r="U12" s="3"/>
      <c r="V12" s="3"/>
      <c r="W12" s="3"/>
    </row>
    <row r="13" spans="1:23" s="73" customFormat="1" ht="12.75">
      <c r="A13" s="63"/>
      <c r="B13" s="64"/>
      <c r="C13" s="64"/>
      <c r="D13" s="65">
        <f>SUM(D9:D12)</f>
        <v>142.8666666666395</v>
      </c>
      <c r="E13" s="66"/>
      <c r="F13" s="67"/>
      <c r="G13" s="68"/>
      <c r="H13" s="64"/>
      <c r="I13" s="64"/>
      <c r="J13" s="65">
        <f>SUM(J9:J12)</f>
        <v>1.133333333360497</v>
      </c>
      <c r="K13" s="65">
        <f>SUM(K9:K12)</f>
        <v>1.133333333360497</v>
      </c>
      <c r="L13" s="69"/>
      <c r="M13" s="70"/>
      <c r="N13" s="70"/>
      <c r="O13" s="71"/>
      <c r="P13" s="66"/>
      <c r="Q13" s="79">
        <f t="shared" si="0"/>
      </c>
      <c r="R13" s="79">
        <f t="shared" si="1"/>
      </c>
      <c r="S13" s="79">
        <f t="shared" si="2"/>
      </c>
      <c r="T13" s="80">
        <f t="shared" si="3"/>
        <v>0</v>
      </c>
      <c r="U13" s="3"/>
      <c r="V13" s="3"/>
      <c r="W13" s="3"/>
    </row>
    <row r="14" spans="1:23" s="82" customFormat="1" ht="12.75">
      <c r="A14" s="89">
        <v>7</v>
      </c>
      <c r="B14" s="83">
        <v>39372.333333333336</v>
      </c>
      <c r="C14" s="83">
        <v>39373.01666666667</v>
      </c>
      <c r="D14" s="78">
        <f>(C14-B14)*24</f>
        <v>16.400000000023283</v>
      </c>
      <c r="E14" s="84" t="s">
        <v>71</v>
      </c>
      <c r="F14" s="85">
        <v>105317</v>
      </c>
      <c r="G14" s="86"/>
      <c r="H14" s="83">
        <v>39373.01666666667</v>
      </c>
      <c r="I14" s="83">
        <v>39373.063888888886</v>
      </c>
      <c r="J14" s="78">
        <f>(I14-H14)*24</f>
        <v>1.133333333185874</v>
      </c>
      <c r="K14" s="78">
        <f>(I14-H14)*24</f>
        <v>1.133333333185874</v>
      </c>
      <c r="L14" s="87" t="s">
        <v>64</v>
      </c>
      <c r="M14" s="87" t="s">
        <v>64</v>
      </c>
      <c r="N14" s="87" t="s">
        <v>64</v>
      </c>
      <c r="O14" s="88" t="s">
        <v>26</v>
      </c>
      <c r="P14" s="84"/>
      <c r="Q14" s="79">
        <f t="shared" si="0"/>
        <v>1</v>
      </c>
      <c r="R14" s="79">
        <f t="shared" si="1"/>
      </c>
      <c r="S14" s="79">
        <f t="shared" si="2"/>
      </c>
      <c r="T14" s="80">
        <f aca="true" t="shared" si="4" ref="T14:T26">SUM(Q14:S14)</f>
        <v>1</v>
      </c>
      <c r="U14" s="81"/>
      <c r="V14" s="81"/>
      <c r="W14" s="81"/>
    </row>
    <row r="15" spans="1:23" s="73" customFormat="1" ht="12.75">
      <c r="A15" s="120">
        <v>8</v>
      </c>
      <c r="B15" s="118">
        <v>39373.063888888886</v>
      </c>
      <c r="C15" s="118">
        <v>39377.333333333336</v>
      </c>
      <c r="D15" s="72">
        <f>(C15-B15)*24</f>
        <v>102.46666666679084</v>
      </c>
      <c r="E15" s="121" t="s">
        <v>38</v>
      </c>
      <c r="F15" s="122"/>
      <c r="G15" s="123"/>
      <c r="H15" s="118"/>
      <c r="I15" s="118"/>
      <c r="J15" s="72">
        <f>(I15-H15)*24</f>
        <v>0</v>
      </c>
      <c r="K15" s="72">
        <f>(I15-H15)*24</f>
        <v>0</v>
      </c>
      <c r="L15" s="124" t="s">
        <v>24</v>
      </c>
      <c r="M15" s="124"/>
      <c r="N15" s="124"/>
      <c r="O15" s="125"/>
      <c r="P15" s="121"/>
      <c r="Q15" s="79">
        <f t="shared" si="0"/>
      </c>
      <c r="R15" s="79">
        <f t="shared" si="1"/>
        <v>1</v>
      </c>
      <c r="S15" s="79">
        <f t="shared" si="2"/>
      </c>
      <c r="T15" s="80">
        <f t="shared" si="4"/>
        <v>1</v>
      </c>
      <c r="U15" s="3"/>
      <c r="V15" s="3"/>
      <c r="W15" s="3"/>
    </row>
    <row r="16" spans="1:23" s="73" customFormat="1" ht="12.75">
      <c r="A16" s="63"/>
      <c r="B16" s="64"/>
      <c r="C16" s="64"/>
      <c r="D16" s="65">
        <f>SUM(D14:D15)</f>
        <v>118.86666666681413</v>
      </c>
      <c r="E16" s="66"/>
      <c r="F16" s="67"/>
      <c r="G16" s="68"/>
      <c r="H16" s="64"/>
      <c r="I16" s="64"/>
      <c r="J16" s="65">
        <f>SUM(J14:J15)</f>
        <v>1.133333333185874</v>
      </c>
      <c r="K16" s="65">
        <f>SUM(K14:K15)</f>
        <v>1.133333333185874</v>
      </c>
      <c r="L16" s="69"/>
      <c r="M16" s="70"/>
      <c r="N16" s="70"/>
      <c r="O16" s="71"/>
      <c r="P16" s="66"/>
      <c r="Q16" s="79">
        <f t="shared" si="0"/>
      </c>
      <c r="R16" s="79">
        <f t="shared" si="1"/>
      </c>
      <c r="S16" s="79">
        <f t="shared" si="2"/>
      </c>
      <c r="T16" s="80">
        <f t="shared" si="4"/>
        <v>0</v>
      </c>
      <c r="U16" s="3"/>
      <c r="V16" s="3"/>
      <c r="W16" s="3"/>
    </row>
    <row r="17" spans="1:23" s="82" customFormat="1" ht="12.75">
      <c r="A17" s="89">
        <v>9</v>
      </c>
      <c r="B17" s="83">
        <v>39379.333333333336</v>
      </c>
      <c r="C17" s="83">
        <v>39379.384722222225</v>
      </c>
      <c r="D17" s="78">
        <f>(C17-B17)*24</f>
        <v>1.2333333333372138</v>
      </c>
      <c r="E17" s="84" t="s">
        <v>74</v>
      </c>
      <c r="F17" s="85">
        <v>105318</v>
      </c>
      <c r="G17" s="86"/>
      <c r="H17" s="83">
        <v>39379.384722222225</v>
      </c>
      <c r="I17" s="83">
        <v>39379.396527777775</v>
      </c>
      <c r="J17" s="78">
        <f>(I17-H17)*24</f>
        <v>0.283333333209157</v>
      </c>
      <c r="K17" s="78">
        <f>(I17-H17)*24</f>
        <v>0.283333333209157</v>
      </c>
      <c r="L17" s="87" t="s">
        <v>39</v>
      </c>
      <c r="M17" s="87" t="s">
        <v>39</v>
      </c>
      <c r="N17" s="87" t="s">
        <v>39</v>
      </c>
      <c r="O17" s="88" t="s">
        <v>26</v>
      </c>
      <c r="P17" s="84"/>
      <c r="Q17" s="79">
        <f t="shared" si="0"/>
        <v>1</v>
      </c>
      <c r="R17" s="79">
        <f t="shared" si="1"/>
      </c>
      <c r="S17" s="79">
        <f t="shared" si="2"/>
      </c>
      <c r="T17" s="80">
        <f t="shared" si="4"/>
        <v>1</v>
      </c>
      <c r="U17" s="81"/>
      <c r="V17" s="81"/>
      <c r="W17" s="81"/>
    </row>
    <row r="18" spans="1:23" s="73" customFormat="1" ht="12.75">
      <c r="A18" s="120">
        <v>10</v>
      </c>
      <c r="B18" s="118">
        <v>39379.396527777775</v>
      </c>
      <c r="C18" s="118">
        <v>39379.8875</v>
      </c>
      <c r="D18" s="72">
        <f>(C18-B18)*24</f>
        <v>11.783333333325572</v>
      </c>
      <c r="E18" s="121" t="s">
        <v>75</v>
      </c>
      <c r="F18" s="122">
        <v>105319</v>
      </c>
      <c r="G18" s="123"/>
      <c r="H18" s="118">
        <v>39379.8875</v>
      </c>
      <c r="I18" s="118">
        <v>39379.916666666664</v>
      </c>
      <c r="J18" s="72">
        <f>(I18-H18)*24</f>
        <v>0.7000000000116415</v>
      </c>
      <c r="K18" s="72">
        <f>(I18-H18)*24</f>
        <v>0.7000000000116415</v>
      </c>
      <c r="L18" s="124" t="s">
        <v>77</v>
      </c>
      <c r="M18" s="124" t="s">
        <v>77</v>
      </c>
      <c r="N18" s="124" t="s">
        <v>77</v>
      </c>
      <c r="O18" s="125" t="s">
        <v>26</v>
      </c>
      <c r="P18" s="121"/>
      <c r="Q18" s="79">
        <f t="shared" si="0"/>
        <v>1</v>
      </c>
      <c r="R18" s="79">
        <f t="shared" si="1"/>
      </c>
      <c r="S18" s="79">
        <f t="shared" si="2"/>
      </c>
      <c r="T18" s="80">
        <f t="shared" si="4"/>
        <v>1</v>
      </c>
      <c r="U18" s="3"/>
      <c r="V18" s="3"/>
      <c r="W18" s="3"/>
    </row>
    <row r="19" spans="1:23" s="82" customFormat="1" ht="12.75">
      <c r="A19" s="89">
        <v>11</v>
      </c>
      <c r="B19" s="83">
        <v>39379.916666666664</v>
      </c>
      <c r="C19" s="83">
        <v>39380.603472222225</v>
      </c>
      <c r="D19" s="78">
        <f>(C19-B19)*24</f>
        <v>16.48333333345363</v>
      </c>
      <c r="E19" s="84" t="s">
        <v>76</v>
      </c>
      <c r="F19" s="85">
        <v>105320</v>
      </c>
      <c r="G19" s="86"/>
      <c r="H19" s="83">
        <v>39380.603472222225</v>
      </c>
      <c r="I19" s="83">
        <v>39380.61319444444</v>
      </c>
      <c r="J19" s="78">
        <f>(I19-H19)*24</f>
        <v>0.23333333322079852</v>
      </c>
      <c r="K19" s="78">
        <f>(I19-H19)*24</f>
        <v>0.23333333322079852</v>
      </c>
      <c r="L19" s="87" t="s">
        <v>39</v>
      </c>
      <c r="M19" s="87" t="s">
        <v>39</v>
      </c>
      <c r="N19" s="87" t="s">
        <v>39</v>
      </c>
      <c r="O19" s="88" t="s">
        <v>26</v>
      </c>
      <c r="P19" s="84"/>
      <c r="Q19" s="79">
        <f t="shared" si="0"/>
        <v>1</v>
      </c>
      <c r="R19" s="79">
        <f t="shared" si="1"/>
      </c>
      <c r="S19" s="79">
        <f t="shared" si="2"/>
      </c>
      <c r="T19" s="80">
        <f t="shared" si="4"/>
        <v>1</v>
      </c>
      <c r="U19" s="81"/>
      <c r="V19" s="81"/>
      <c r="W19" s="81"/>
    </row>
    <row r="20" spans="1:23" s="73" customFormat="1" ht="12.75">
      <c r="A20" s="120">
        <v>12</v>
      </c>
      <c r="B20" s="118">
        <v>39380.61319444444</v>
      </c>
      <c r="C20" s="118">
        <v>39385.333333333336</v>
      </c>
      <c r="D20" s="72">
        <f>(C20-B20)*24</f>
        <v>113.28333333344199</v>
      </c>
      <c r="E20" s="121" t="s">
        <v>38</v>
      </c>
      <c r="F20" s="122"/>
      <c r="G20" s="123"/>
      <c r="H20" s="118"/>
      <c r="I20" s="118"/>
      <c r="J20" s="72">
        <f>(I20-H20)*24</f>
        <v>0</v>
      </c>
      <c r="K20" s="72">
        <f>(I20-H20)*24</f>
        <v>0</v>
      </c>
      <c r="L20" s="124" t="s">
        <v>24</v>
      </c>
      <c r="M20" s="124"/>
      <c r="N20" s="124"/>
      <c r="O20" s="125"/>
      <c r="P20" s="121"/>
      <c r="Q20" s="79">
        <f t="shared" si="0"/>
      </c>
      <c r="R20" s="79">
        <f t="shared" si="1"/>
        <v>1</v>
      </c>
      <c r="S20" s="79">
        <f t="shared" si="2"/>
      </c>
      <c r="T20" s="80">
        <f t="shared" si="4"/>
        <v>1</v>
      </c>
      <c r="U20" s="3"/>
      <c r="V20" s="3"/>
      <c r="W20" s="3"/>
    </row>
    <row r="21" spans="1:23" s="73" customFormat="1" ht="12.75">
      <c r="A21" s="63"/>
      <c r="B21" s="64"/>
      <c r="C21" s="64"/>
      <c r="D21" s="65">
        <f>SUM(D17:D20)</f>
        <v>142.7833333335584</v>
      </c>
      <c r="E21" s="66"/>
      <c r="F21" s="67"/>
      <c r="G21" s="68"/>
      <c r="H21" s="64"/>
      <c r="I21" s="64"/>
      <c r="J21" s="65">
        <f>SUM(J17:J20)</f>
        <v>1.216666666441597</v>
      </c>
      <c r="K21" s="65">
        <f>SUM(K17:K20)</f>
        <v>1.216666666441597</v>
      </c>
      <c r="L21" s="69"/>
      <c r="M21" s="70"/>
      <c r="N21" s="70"/>
      <c r="O21" s="71"/>
      <c r="P21" s="66"/>
      <c r="Q21" s="79">
        <f t="shared" si="0"/>
      </c>
      <c r="R21" s="79">
        <f t="shared" si="1"/>
      </c>
      <c r="S21" s="79">
        <f t="shared" si="2"/>
      </c>
      <c r="T21" s="80">
        <f t="shared" si="4"/>
        <v>0</v>
      </c>
      <c r="U21" s="3"/>
      <c r="V21" s="3"/>
      <c r="W21" s="3"/>
    </row>
    <row r="22" spans="1:23" s="73" customFormat="1" ht="12.75">
      <c r="A22" s="120">
        <v>13</v>
      </c>
      <c r="B22" s="118">
        <v>39386.333333333336</v>
      </c>
      <c r="C22" s="118">
        <v>39392.333333333336</v>
      </c>
      <c r="D22" s="72">
        <f>(C22-B22)*24+1</f>
        <v>145</v>
      </c>
      <c r="E22" s="121" t="s">
        <v>38</v>
      </c>
      <c r="F22" s="122"/>
      <c r="G22" s="123"/>
      <c r="H22" s="118"/>
      <c r="I22" s="118"/>
      <c r="J22" s="72">
        <f>(I22-H22)*24</f>
        <v>0</v>
      </c>
      <c r="K22" s="72">
        <f>(I22-H22)*24</f>
        <v>0</v>
      </c>
      <c r="L22" s="124" t="s">
        <v>24</v>
      </c>
      <c r="M22" s="124"/>
      <c r="N22" s="124"/>
      <c r="O22" s="125"/>
      <c r="P22" s="121"/>
      <c r="Q22" s="79">
        <f t="shared" si="0"/>
      </c>
      <c r="R22" s="79">
        <f t="shared" si="1"/>
        <v>1</v>
      </c>
      <c r="S22" s="79">
        <f t="shared" si="2"/>
      </c>
      <c r="T22" s="80">
        <f t="shared" si="4"/>
        <v>1</v>
      </c>
      <c r="U22" s="3"/>
      <c r="V22" s="3"/>
      <c r="W22" s="3"/>
    </row>
    <row r="23" spans="1:23" s="73" customFormat="1" ht="12.75">
      <c r="A23" s="63"/>
      <c r="B23" s="64"/>
      <c r="C23" s="64"/>
      <c r="D23" s="65">
        <f>SUM(D22:D22)</f>
        <v>145</v>
      </c>
      <c r="E23" s="66"/>
      <c r="F23" s="67"/>
      <c r="G23" s="68"/>
      <c r="H23" s="64"/>
      <c r="I23" s="64"/>
      <c r="J23" s="65">
        <f>SUM(J22:J22)</f>
        <v>0</v>
      </c>
      <c r="K23" s="65">
        <f>SUM(K22:K22)</f>
        <v>0</v>
      </c>
      <c r="L23" s="69"/>
      <c r="M23" s="70"/>
      <c r="N23" s="70"/>
      <c r="O23" s="71"/>
      <c r="P23" s="66"/>
      <c r="Q23" s="79">
        <f t="shared" si="0"/>
      </c>
      <c r="R23" s="79">
        <f t="shared" si="1"/>
      </c>
      <c r="S23" s="79">
        <f t="shared" si="2"/>
      </c>
      <c r="T23" s="80">
        <f t="shared" si="4"/>
        <v>0</v>
      </c>
      <c r="U23" s="3"/>
      <c r="V23" s="3"/>
      <c r="W23" s="3"/>
    </row>
    <row r="24" spans="1:23" s="73" customFormat="1" ht="12.75">
      <c r="A24" s="120">
        <v>14</v>
      </c>
      <c r="B24" s="118">
        <v>39393.333333333336</v>
      </c>
      <c r="C24" s="118">
        <v>39398.333333333336</v>
      </c>
      <c r="D24" s="72">
        <f>(C24-B24)*24</f>
        <v>120</v>
      </c>
      <c r="E24" s="121" t="s">
        <v>38</v>
      </c>
      <c r="F24" s="122"/>
      <c r="G24" s="123"/>
      <c r="H24" s="118"/>
      <c r="I24" s="118"/>
      <c r="J24" s="72">
        <f>(I24-H24)*24</f>
        <v>0</v>
      </c>
      <c r="K24" s="72">
        <f>(I24-H24)*24</f>
        <v>0</v>
      </c>
      <c r="L24" s="124" t="s">
        <v>24</v>
      </c>
      <c r="M24" s="124"/>
      <c r="N24" s="124"/>
      <c r="O24" s="125"/>
      <c r="P24" s="121"/>
      <c r="Q24" s="79">
        <f t="shared" si="0"/>
      </c>
      <c r="R24" s="79">
        <f t="shared" si="1"/>
        <v>1</v>
      </c>
      <c r="S24" s="79">
        <f t="shared" si="2"/>
      </c>
      <c r="T24" s="80">
        <f t="shared" si="4"/>
        <v>1</v>
      </c>
      <c r="U24" s="3"/>
      <c r="V24" s="3"/>
      <c r="W24" s="3"/>
    </row>
    <row r="25" spans="1:23" s="73" customFormat="1" ht="12.75">
      <c r="A25" s="63"/>
      <c r="B25" s="64"/>
      <c r="C25" s="64"/>
      <c r="D25" s="65">
        <f>SUM(D24:D24)</f>
        <v>120</v>
      </c>
      <c r="E25" s="66"/>
      <c r="F25" s="67"/>
      <c r="G25" s="68"/>
      <c r="H25" s="64"/>
      <c r="I25" s="64"/>
      <c r="J25" s="65">
        <f>SUM(J24:J24)</f>
        <v>0</v>
      </c>
      <c r="K25" s="65">
        <f>SUM(K24:K24)</f>
        <v>0</v>
      </c>
      <c r="L25" s="69"/>
      <c r="M25" s="70"/>
      <c r="N25" s="70"/>
      <c r="O25" s="71"/>
      <c r="P25" s="66"/>
      <c r="Q25" s="79">
        <f t="shared" si="0"/>
      </c>
      <c r="R25" s="79">
        <f t="shared" si="1"/>
      </c>
      <c r="S25" s="79">
        <f t="shared" si="2"/>
      </c>
      <c r="T25" s="80">
        <f t="shared" si="4"/>
        <v>0</v>
      </c>
      <c r="U25" s="3"/>
      <c r="V25" s="3"/>
      <c r="W25" s="3"/>
    </row>
    <row r="26" spans="1:23" s="73" customFormat="1" ht="12.75">
      <c r="A26" s="120"/>
      <c r="B26" s="118"/>
      <c r="C26" s="118"/>
      <c r="D26" s="72">
        <f>(C26-B26)*24</f>
        <v>0</v>
      </c>
      <c r="E26" s="121" t="s">
        <v>80</v>
      </c>
      <c r="F26" s="122">
        <v>105324</v>
      </c>
      <c r="G26" s="123"/>
      <c r="H26" s="118">
        <v>39400.333333333336</v>
      </c>
      <c r="I26" s="118">
        <v>39400.36666666667</v>
      </c>
      <c r="J26" s="72">
        <f>(I26-H26)*24</f>
        <v>0.7999999999883585</v>
      </c>
      <c r="K26" s="72">
        <f>(I26-H26)*24</f>
        <v>0.7999999999883585</v>
      </c>
      <c r="L26" s="124" t="s">
        <v>84</v>
      </c>
      <c r="M26" s="124" t="s">
        <v>84</v>
      </c>
      <c r="N26" s="124" t="s">
        <v>84</v>
      </c>
      <c r="O26" s="125" t="s">
        <v>83</v>
      </c>
      <c r="P26" s="121"/>
      <c r="Q26" s="79">
        <f t="shared" si="0"/>
      </c>
      <c r="R26" s="79">
        <f t="shared" si="1"/>
      </c>
      <c r="S26" s="79">
        <f t="shared" si="2"/>
        <v>1</v>
      </c>
      <c r="T26" s="80">
        <f t="shared" si="4"/>
        <v>1</v>
      </c>
      <c r="U26" s="3"/>
      <c r="V26" s="3"/>
      <c r="W26" s="3"/>
    </row>
    <row r="27" spans="1:23" s="82" customFormat="1" ht="12.75">
      <c r="A27" s="89">
        <v>16</v>
      </c>
      <c r="B27" s="83">
        <v>39400.36666666667</v>
      </c>
      <c r="C27" s="83">
        <v>39406.084027777775</v>
      </c>
      <c r="D27" s="78">
        <f>(C27-B27)*24</f>
        <v>137.216666666558</v>
      </c>
      <c r="E27" s="84" t="s">
        <v>78</v>
      </c>
      <c r="F27" s="85">
        <v>105325</v>
      </c>
      <c r="G27" s="86"/>
      <c r="H27" s="83">
        <v>39406.084027777775</v>
      </c>
      <c r="I27" s="83">
        <v>39406.097916666666</v>
      </c>
      <c r="J27" s="78">
        <f>(I27-H27)*24</f>
        <v>0.33333333337213844</v>
      </c>
      <c r="K27" s="78">
        <f>(I27-H27)*24</f>
        <v>0.33333333337213844</v>
      </c>
      <c r="L27" s="87" t="s">
        <v>84</v>
      </c>
      <c r="M27" s="87" t="s">
        <v>84</v>
      </c>
      <c r="N27" s="87" t="s">
        <v>84</v>
      </c>
      <c r="O27" s="88" t="s">
        <v>26</v>
      </c>
      <c r="P27" s="84"/>
      <c r="Q27" s="79">
        <f t="shared" si="0"/>
        <v>1</v>
      </c>
      <c r="R27" s="79">
        <f t="shared" si="1"/>
      </c>
      <c r="S27" s="79">
        <f t="shared" si="2"/>
      </c>
      <c r="T27" s="80">
        <f aca="true" t="shared" si="5" ref="T27:T42">SUM(Q27:S27)</f>
        <v>1</v>
      </c>
      <c r="U27" s="81"/>
      <c r="V27" s="81"/>
      <c r="W27" s="81"/>
    </row>
    <row r="28" spans="1:23" s="73" customFormat="1" ht="12.75">
      <c r="A28" s="120">
        <v>17</v>
      </c>
      <c r="B28" s="118">
        <v>39406.097916666666</v>
      </c>
      <c r="C28" s="118">
        <v>39406.41388888889</v>
      </c>
      <c r="D28" s="72">
        <f>(C28-B28)*24</f>
        <v>7.583333333430346</v>
      </c>
      <c r="E28" s="121" t="s">
        <v>79</v>
      </c>
      <c r="F28" s="122">
        <v>105326</v>
      </c>
      <c r="G28" s="123"/>
      <c r="H28" s="118">
        <v>39406.41388888889</v>
      </c>
      <c r="I28" s="118">
        <v>39406.430555555555</v>
      </c>
      <c r="J28" s="72">
        <f>(I28-H28)*24</f>
        <v>0.39999999990686774</v>
      </c>
      <c r="K28" s="72">
        <f>(I28-H28)*24</f>
        <v>0.39999999990686774</v>
      </c>
      <c r="L28" s="124" t="s">
        <v>64</v>
      </c>
      <c r="M28" s="124" t="s">
        <v>64</v>
      </c>
      <c r="N28" s="124" t="s">
        <v>64</v>
      </c>
      <c r="O28" s="125" t="s">
        <v>26</v>
      </c>
      <c r="P28" s="121"/>
      <c r="Q28" s="79">
        <f t="shared" si="0"/>
        <v>1</v>
      </c>
      <c r="R28" s="79">
        <f t="shared" si="1"/>
      </c>
      <c r="S28" s="79">
        <f t="shared" si="2"/>
      </c>
      <c r="T28" s="80">
        <f t="shared" si="5"/>
        <v>1</v>
      </c>
      <c r="U28" s="3"/>
      <c r="V28" s="3"/>
      <c r="W28" s="3"/>
    </row>
    <row r="29" spans="1:23" s="82" customFormat="1" ht="12.75">
      <c r="A29" s="89">
        <v>18</v>
      </c>
      <c r="B29" s="83">
        <v>39406.430555555555</v>
      </c>
      <c r="C29" s="83">
        <v>39406.60555555556</v>
      </c>
      <c r="D29" s="78">
        <f>(C29-B29)*24</f>
        <v>4.200000000069849</v>
      </c>
      <c r="E29" s="84" t="s">
        <v>80</v>
      </c>
      <c r="F29" s="85">
        <v>105327</v>
      </c>
      <c r="G29" s="86"/>
      <c r="H29" s="83">
        <v>39406.60555555556</v>
      </c>
      <c r="I29" s="83">
        <v>39406.61875</v>
      </c>
      <c r="J29" s="78">
        <f>(I29-H29)*24</f>
        <v>0.3166666666511446</v>
      </c>
      <c r="K29" s="78">
        <f>(I29-H29)*24</f>
        <v>0.3166666666511446</v>
      </c>
      <c r="L29" s="87" t="s">
        <v>84</v>
      </c>
      <c r="M29" s="87" t="s">
        <v>84</v>
      </c>
      <c r="N29" s="87" t="s">
        <v>84</v>
      </c>
      <c r="O29" s="88" t="s">
        <v>26</v>
      </c>
      <c r="P29" s="84"/>
      <c r="Q29" s="79">
        <f t="shared" si="0"/>
        <v>1</v>
      </c>
      <c r="R29" s="79">
        <f t="shared" si="1"/>
      </c>
      <c r="S29" s="79">
        <f t="shared" si="2"/>
      </c>
      <c r="T29" s="80">
        <f>SUM(Q29:S29)</f>
        <v>1</v>
      </c>
      <c r="U29" s="81"/>
      <c r="V29" s="81"/>
      <c r="W29" s="81"/>
    </row>
    <row r="30" spans="1:23" s="73" customFormat="1" ht="12.75">
      <c r="A30" s="120">
        <v>19</v>
      </c>
      <c r="B30" s="118">
        <v>39406.61875</v>
      </c>
      <c r="C30" s="118">
        <v>39406.94027777778</v>
      </c>
      <c r="D30" s="72">
        <f>(C30-B30)*24</f>
        <v>7.716666666674428</v>
      </c>
      <c r="E30" s="121" t="s">
        <v>81</v>
      </c>
      <c r="F30" s="122"/>
      <c r="G30" s="123"/>
      <c r="H30" s="118">
        <v>39406.94027777778</v>
      </c>
      <c r="I30" s="118">
        <v>39407.18472222222</v>
      </c>
      <c r="J30" s="72">
        <f>(I30-H30)*24</f>
        <v>5.866666666581295</v>
      </c>
      <c r="K30" s="72"/>
      <c r="L30" s="124"/>
      <c r="M30" s="124"/>
      <c r="N30" s="124"/>
      <c r="O30" s="125"/>
      <c r="P30" s="121"/>
      <c r="Q30" s="79">
        <f t="shared" si="0"/>
      </c>
      <c r="R30" s="79">
        <f t="shared" si="1"/>
      </c>
      <c r="S30" s="79">
        <f t="shared" si="2"/>
      </c>
      <c r="T30" s="80">
        <f>SUM(Q30:S30)</f>
        <v>0</v>
      </c>
      <c r="U30" s="3"/>
      <c r="V30" s="3"/>
      <c r="W30" s="3"/>
    </row>
    <row r="31" spans="1:23" s="73" customFormat="1" ht="12.75">
      <c r="A31" s="120"/>
      <c r="B31" s="118"/>
      <c r="C31" s="118"/>
      <c r="D31" s="72"/>
      <c r="E31" s="131"/>
      <c r="F31" s="132" t="s">
        <v>87</v>
      </c>
      <c r="G31" s="133"/>
      <c r="H31" s="134">
        <v>39406.94027777778</v>
      </c>
      <c r="I31" s="134">
        <v>39407.17013888889</v>
      </c>
      <c r="J31" s="135"/>
      <c r="K31" s="135">
        <f>(I31-H31)*24</f>
        <v>5.516666666662786</v>
      </c>
      <c r="L31" s="136" t="s">
        <v>85</v>
      </c>
      <c r="M31" s="136" t="s">
        <v>85</v>
      </c>
      <c r="N31" s="136" t="s">
        <v>85</v>
      </c>
      <c r="O31" s="137" t="s">
        <v>26</v>
      </c>
      <c r="P31" s="131"/>
      <c r="Q31" s="79">
        <f>IF($O31="Store Lost",1,"")</f>
        <v>1</v>
      </c>
      <c r="R31" s="79">
        <f>IF($L31="Scheduled",1,"")</f>
      </c>
      <c r="S31" s="79">
        <f>IF($O31="Inhibits beam to user",1,"")</f>
      </c>
      <c r="T31" s="80">
        <f>SUM(Q31:S31)</f>
        <v>1</v>
      </c>
      <c r="U31" s="3"/>
      <c r="V31" s="3"/>
      <c r="W31" s="3"/>
    </row>
    <row r="32" spans="1:23" s="73" customFormat="1" ht="12.75">
      <c r="A32" s="120"/>
      <c r="B32" s="118"/>
      <c r="C32" s="118"/>
      <c r="D32" s="72"/>
      <c r="E32" s="138"/>
      <c r="F32" s="139">
        <v>105334</v>
      </c>
      <c r="G32" s="140"/>
      <c r="H32" s="141">
        <v>39407.17013888889</v>
      </c>
      <c r="I32" s="141">
        <v>39407.18472222222</v>
      </c>
      <c r="J32" s="142"/>
      <c r="K32" s="142">
        <f>(I32-H32)*24</f>
        <v>0.3499999999185093</v>
      </c>
      <c r="L32" s="143" t="s">
        <v>39</v>
      </c>
      <c r="M32" s="143" t="s">
        <v>39</v>
      </c>
      <c r="N32" s="143" t="s">
        <v>39</v>
      </c>
      <c r="O32" s="144" t="s">
        <v>83</v>
      </c>
      <c r="P32" s="138"/>
      <c r="Q32" s="79">
        <f>IF($O32="Store Lost",1,"")</f>
      </c>
      <c r="R32" s="79">
        <f>IF($L32="Scheduled",1,"")</f>
      </c>
      <c r="S32" s="79">
        <f>IF($O32="Inhibits beam to user",1,"")</f>
        <v>1</v>
      </c>
      <c r="T32" s="80">
        <f>SUM(Q32:S32)</f>
        <v>1</v>
      </c>
      <c r="U32" s="3"/>
      <c r="V32" s="3"/>
      <c r="W32" s="3"/>
    </row>
    <row r="33" spans="1:23" s="82" customFormat="1" ht="12.75">
      <c r="A33" s="89">
        <v>24</v>
      </c>
      <c r="B33" s="83">
        <v>39407.18472222222</v>
      </c>
      <c r="C33" s="83">
        <v>39407.39236111111</v>
      </c>
      <c r="D33" s="78">
        <f>(C33-B33)*24</f>
        <v>4.983333333337214</v>
      </c>
      <c r="E33" s="84" t="s">
        <v>82</v>
      </c>
      <c r="F33" s="85">
        <v>105335</v>
      </c>
      <c r="G33" s="86"/>
      <c r="H33" s="83">
        <v>39407.39236111111</v>
      </c>
      <c r="I33" s="83">
        <v>39407.40555555555</v>
      </c>
      <c r="J33" s="78">
        <f>(I33-H33)*24</f>
        <v>0.3166666666511446</v>
      </c>
      <c r="K33" s="78">
        <f>(I33-H33)*24</f>
        <v>0.3166666666511446</v>
      </c>
      <c r="L33" s="87" t="s">
        <v>84</v>
      </c>
      <c r="M33" s="87" t="s">
        <v>84</v>
      </c>
      <c r="N33" s="87" t="s">
        <v>84</v>
      </c>
      <c r="O33" s="88" t="s">
        <v>26</v>
      </c>
      <c r="P33" s="84"/>
      <c r="Q33" s="79">
        <f t="shared" si="0"/>
        <v>1</v>
      </c>
      <c r="R33" s="79">
        <f t="shared" si="1"/>
      </c>
      <c r="S33" s="79">
        <f t="shared" si="2"/>
      </c>
      <c r="T33" s="80">
        <f t="shared" si="5"/>
        <v>1</v>
      </c>
      <c r="U33" s="81"/>
      <c r="V33" s="81"/>
      <c r="W33" s="81"/>
    </row>
    <row r="34" spans="1:23" s="73" customFormat="1" ht="12.75">
      <c r="A34" s="120">
        <v>25</v>
      </c>
      <c r="B34" s="118">
        <v>39407.40555555555</v>
      </c>
      <c r="C34" s="118">
        <v>39408</v>
      </c>
      <c r="D34" s="72">
        <f>(C34-B34)*24</f>
        <v>14.266666666720994</v>
      </c>
      <c r="E34" s="121" t="s">
        <v>38</v>
      </c>
      <c r="F34" s="122"/>
      <c r="G34" s="123"/>
      <c r="H34" s="118"/>
      <c r="I34" s="118"/>
      <c r="J34" s="72">
        <f>(I34-H34)*24</f>
        <v>0</v>
      </c>
      <c r="K34" s="72">
        <f>(I34-H34)*24</f>
        <v>0</v>
      </c>
      <c r="L34" s="124" t="s">
        <v>24</v>
      </c>
      <c r="M34" s="124"/>
      <c r="N34" s="124"/>
      <c r="O34" s="125"/>
      <c r="P34" s="121"/>
      <c r="Q34" s="79">
        <f t="shared" si="0"/>
      </c>
      <c r="R34" s="79">
        <f t="shared" si="1"/>
        <v>1</v>
      </c>
      <c r="S34" s="79">
        <f t="shared" si="2"/>
      </c>
      <c r="T34" s="80">
        <f t="shared" si="5"/>
        <v>1</v>
      </c>
      <c r="U34" s="3"/>
      <c r="V34" s="3"/>
      <c r="W34" s="3"/>
    </row>
    <row r="35" spans="1:23" s="73" customFormat="1" ht="12.75">
      <c r="A35" s="63"/>
      <c r="B35" s="64"/>
      <c r="C35" s="64"/>
      <c r="D35" s="65">
        <f>SUM(D27:D34)</f>
        <v>175.96666666679084</v>
      </c>
      <c r="E35" s="66"/>
      <c r="F35" s="67"/>
      <c r="G35" s="68"/>
      <c r="H35" s="64"/>
      <c r="I35" s="64"/>
      <c r="J35" s="65">
        <f>SUM(J26:J34)</f>
        <v>8.03333333315095</v>
      </c>
      <c r="K35" s="65">
        <f>SUM(K26:K34)</f>
        <v>8.03333333315095</v>
      </c>
      <c r="L35" s="69"/>
      <c r="M35" s="70"/>
      <c r="N35" s="70"/>
      <c r="O35" s="71"/>
      <c r="P35" s="66"/>
      <c r="Q35" s="79">
        <f t="shared" si="0"/>
      </c>
      <c r="R35" s="79">
        <f t="shared" si="1"/>
      </c>
      <c r="S35" s="79">
        <f t="shared" si="2"/>
      </c>
      <c r="T35" s="80">
        <f t="shared" si="5"/>
        <v>0</v>
      </c>
      <c r="U35" s="3"/>
      <c r="V35" s="3"/>
      <c r="W35" s="3"/>
    </row>
    <row r="36" spans="1:23" s="82" customFormat="1" ht="12.75">
      <c r="A36" s="89">
        <v>26</v>
      </c>
      <c r="B36" s="83">
        <v>39409.333333333336</v>
      </c>
      <c r="C36" s="83">
        <v>39411.73263888889</v>
      </c>
      <c r="D36" s="78">
        <f>(C36-B36)*24</f>
        <v>57.58333333331393</v>
      </c>
      <c r="E36" s="145" t="s">
        <v>86</v>
      </c>
      <c r="F36" s="85">
        <v>105336</v>
      </c>
      <c r="G36" s="86"/>
      <c r="H36" s="83">
        <v>39411.73263888889</v>
      </c>
      <c r="I36" s="83">
        <v>39411.74722222222</v>
      </c>
      <c r="J36" s="78">
        <f>(I36-H36)*24</f>
        <v>0.3499999999185093</v>
      </c>
      <c r="K36" s="78">
        <f>(I36-H36)*24</f>
        <v>0.3499999999185093</v>
      </c>
      <c r="L36" s="87" t="s">
        <v>39</v>
      </c>
      <c r="M36" s="87" t="s">
        <v>39</v>
      </c>
      <c r="N36" s="87" t="s">
        <v>39</v>
      </c>
      <c r="O36" s="88" t="s">
        <v>26</v>
      </c>
      <c r="P36" s="84"/>
      <c r="Q36" s="79">
        <f t="shared" si="0"/>
        <v>1</v>
      </c>
      <c r="R36" s="79">
        <f t="shared" si="1"/>
      </c>
      <c r="S36" s="79">
        <f t="shared" si="2"/>
      </c>
      <c r="T36" s="80">
        <f t="shared" si="5"/>
        <v>1</v>
      </c>
      <c r="U36" s="81"/>
      <c r="V36" s="81"/>
      <c r="W36" s="81"/>
    </row>
    <row r="37" spans="1:23" s="73" customFormat="1" ht="12.75">
      <c r="A37" s="120">
        <v>27</v>
      </c>
      <c r="B37" s="118">
        <v>39411.74722222222</v>
      </c>
      <c r="C37" s="118">
        <v>39413.333333333336</v>
      </c>
      <c r="D37" s="72">
        <f>(C37-B37)*24</f>
        <v>38.06666666676756</v>
      </c>
      <c r="E37" s="121" t="s">
        <v>38</v>
      </c>
      <c r="F37" s="122"/>
      <c r="G37" s="123"/>
      <c r="H37" s="118"/>
      <c r="I37" s="118"/>
      <c r="J37" s="72">
        <f>(I37-H37)*24</f>
        <v>0</v>
      </c>
      <c r="K37" s="72">
        <f>(I37-H37)*24</f>
        <v>0</v>
      </c>
      <c r="L37" s="124" t="s">
        <v>24</v>
      </c>
      <c r="M37" s="124"/>
      <c r="N37" s="124"/>
      <c r="O37" s="125"/>
      <c r="P37" s="121"/>
      <c r="Q37" s="79">
        <f t="shared" si="0"/>
      </c>
      <c r="R37" s="79">
        <f t="shared" si="1"/>
        <v>1</v>
      </c>
      <c r="S37" s="79">
        <f t="shared" si="2"/>
      </c>
      <c r="T37" s="80">
        <f t="shared" si="5"/>
        <v>1</v>
      </c>
      <c r="U37" s="3"/>
      <c r="V37" s="3"/>
      <c r="W37" s="3"/>
    </row>
    <row r="38" spans="1:23" s="73" customFormat="1" ht="12.75">
      <c r="A38" s="63"/>
      <c r="B38" s="64"/>
      <c r="C38" s="64"/>
      <c r="D38" s="65">
        <f>SUM(D36:D37)</f>
        <v>95.65000000008149</v>
      </c>
      <c r="E38" s="66"/>
      <c r="F38" s="67"/>
      <c r="G38" s="68"/>
      <c r="H38" s="64"/>
      <c r="I38" s="64"/>
      <c r="J38" s="65">
        <f>SUM(J36:J37)</f>
        <v>0.3499999999185093</v>
      </c>
      <c r="K38" s="65">
        <f>SUM(K36:K37)</f>
        <v>0.3499999999185093</v>
      </c>
      <c r="L38" s="69"/>
      <c r="M38" s="70"/>
      <c r="N38" s="70"/>
      <c r="O38" s="71"/>
      <c r="P38" s="66"/>
      <c r="Q38" s="79">
        <f t="shared" si="0"/>
      </c>
      <c r="R38" s="79">
        <f t="shared" si="1"/>
      </c>
      <c r="S38" s="79">
        <f t="shared" si="2"/>
      </c>
      <c r="T38" s="80">
        <f t="shared" si="5"/>
        <v>0</v>
      </c>
      <c r="U38" s="3"/>
      <c r="V38" s="3"/>
      <c r="W38" s="3"/>
    </row>
    <row r="39" spans="1:23" s="73" customFormat="1" ht="12.75">
      <c r="A39" s="120">
        <v>28</v>
      </c>
      <c r="B39" s="118">
        <v>39414.333333333336</v>
      </c>
      <c r="C39" s="118">
        <v>39420.333333333336</v>
      </c>
      <c r="D39" s="72">
        <f>(C39-B39)*24</f>
        <v>144</v>
      </c>
      <c r="E39" s="121" t="s">
        <v>38</v>
      </c>
      <c r="F39" s="122"/>
      <c r="G39" s="123"/>
      <c r="H39" s="118"/>
      <c r="I39" s="118"/>
      <c r="J39" s="72">
        <f>(I39-H39)*24</f>
        <v>0</v>
      </c>
      <c r="K39" s="72">
        <f>(I39-H39)*24</f>
        <v>0</v>
      </c>
      <c r="L39" s="124" t="s">
        <v>24</v>
      </c>
      <c r="M39" s="124"/>
      <c r="N39" s="124"/>
      <c r="O39" s="125"/>
      <c r="P39" s="121"/>
      <c r="Q39" s="79">
        <f t="shared" si="0"/>
      </c>
      <c r="R39" s="79">
        <f t="shared" si="1"/>
        <v>1</v>
      </c>
      <c r="S39" s="79">
        <f t="shared" si="2"/>
      </c>
      <c r="T39" s="80">
        <f t="shared" si="5"/>
        <v>1</v>
      </c>
      <c r="U39" s="3"/>
      <c r="V39" s="3"/>
      <c r="W39" s="3"/>
    </row>
    <row r="40" spans="1:23" s="73" customFormat="1" ht="12.75">
      <c r="A40" s="63"/>
      <c r="B40" s="64"/>
      <c r="C40" s="64"/>
      <c r="D40" s="65">
        <f>SUM(D39:D39)</f>
        <v>144</v>
      </c>
      <c r="E40" s="66"/>
      <c r="F40" s="67"/>
      <c r="G40" s="68"/>
      <c r="H40" s="64"/>
      <c r="I40" s="64"/>
      <c r="J40" s="65">
        <f>SUM(J39:J39)</f>
        <v>0</v>
      </c>
      <c r="K40" s="65">
        <f>SUM(K39:K39)</f>
        <v>0</v>
      </c>
      <c r="L40" s="69"/>
      <c r="M40" s="70"/>
      <c r="N40" s="70"/>
      <c r="O40" s="71"/>
      <c r="P40" s="66"/>
      <c r="Q40" s="79">
        <f t="shared" si="0"/>
      </c>
      <c r="R40" s="79">
        <f t="shared" si="1"/>
      </c>
      <c r="S40" s="79">
        <f t="shared" si="2"/>
      </c>
      <c r="T40" s="80">
        <f t="shared" si="5"/>
        <v>0</v>
      </c>
      <c r="U40" s="3"/>
      <c r="V40" s="3"/>
      <c r="W40" s="3"/>
    </row>
    <row r="41" spans="1:23" s="73" customFormat="1" ht="12.75">
      <c r="A41" s="120">
        <v>29</v>
      </c>
      <c r="B41" s="118">
        <v>39421.333333333336</v>
      </c>
      <c r="C41" s="118">
        <v>39427.333333333336</v>
      </c>
      <c r="D41" s="72">
        <f>SUM((C41-B41)*24)</f>
        <v>144</v>
      </c>
      <c r="E41" s="121" t="s">
        <v>38</v>
      </c>
      <c r="F41" s="122"/>
      <c r="G41" s="123"/>
      <c r="H41" s="118"/>
      <c r="I41" s="118"/>
      <c r="J41" s="72">
        <f>(I41-H41)*24</f>
        <v>0</v>
      </c>
      <c r="K41" s="72">
        <f>(I41-H41)*24</f>
        <v>0</v>
      </c>
      <c r="L41" s="124" t="s">
        <v>24</v>
      </c>
      <c r="M41" s="124"/>
      <c r="N41" s="124"/>
      <c r="O41" s="125"/>
      <c r="P41" s="121"/>
      <c r="Q41" s="79">
        <f t="shared" si="0"/>
      </c>
      <c r="R41" s="79">
        <f t="shared" si="1"/>
        <v>1</v>
      </c>
      <c r="S41" s="79">
        <f t="shared" si="2"/>
      </c>
      <c r="T41" s="80">
        <f t="shared" si="5"/>
        <v>1</v>
      </c>
      <c r="U41" s="3"/>
      <c r="V41" s="3"/>
      <c r="W41" s="3"/>
    </row>
    <row r="42" spans="1:23" s="73" customFormat="1" ht="12.75">
      <c r="A42" s="63"/>
      <c r="B42" s="64"/>
      <c r="C42" s="64"/>
      <c r="D42" s="65">
        <f>SUM(D41:D41)</f>
        <v>144</v>
      </c>
      <c r="E42" s="66"/>
      <c r="F42" s="67"/>
      <c r="G42" s="68"/>
      <c r="H42" s="64"/>
      <c r="I42" s="64"/>
      <c r="J42" s="65">
        <f>SUM(J41:J41)</f>
        <v>0</v>
      </c>
      <c r="K42" s="65">
        <f>SUM(K41:K41)</f>
        <v>0</v>
      </c>
      <c r="L42" s="69"/>
      <c r="M42" s="70"/>
      <c r="N42" s="70"/>
      <c r="O42" s="71"/>
      <c r="P42" s="66"/>
      <c r="Q42" s="79">
        <f t="shared" si="0"/>
      </c>
      <c r="R42" s="79">
        <f t="shared" si="1"/>
      </c>
      <c r="S42" s="79">
        <f t="shared" si="2"/>
      </c>
      <c r="T42" s="80">
        <f t="shared" si="5"/>
        <v>0</v>
      </c>
      <c r="U42" s="3"/>
      <c r="V42" s="3"/>
      <c r="W42" s="3"/>
    </row>
    <row r="43" spans="1:23" s="82" customFormat="1" ht="12.75">
      <c r="A43" s="89">
        <v>30</v>
      </c>
      <c r="B43" s="83">
        <v>39428.333333333336</v>
      </c>
      <c r="C43" s="83">
        <v>39433.322916666664</v>
      </c>
      <c r="D43" s="78">
        <f>(C43-B43)*24</f>
        <v>119.74999999988358</v>
      </c>
      <c r="E43" s="145" t="s">
        <v>80</v>
      </c>
      <c r="F43" s="85">
        <v>105345</v>
      </c>
      <c r="G43" s="86"/>
      <c r="H43" s="83">
        <v>39433.322916666664</v>
      </c>
      <c r="I43" s="83">
        <v>39433.368055555555</v>
      </c>
      <c r="J43" s="78">
        <f>(I43-H43)*24</f>
        <v>1.0833333333721384</v>
      </c>
      <c r="K43" s="78"/>
      <c r="L43" s="87"/>
      <c r="M43" s="87"/>
      <c r="N43" s="87"/>
      <c r="O43" s="88"/>
      <c r="P43" s="84"/>
      <c r="Q43" s="79">
        <f t="shared" si="0"/>
      </c>
      <c r="R43" s="79">
        <f t="shared" si="1"/>
      </c>
      <c r="S43" s="79">
        <f t="shared" si="2"/>
      </c>
      <c r="T43" s="80">
        <f aca="true" t="shared" si="6" ref="T43:T48">SUM(Q43:S43)</f>
        <v>0</v>
      </c>
      <c r="U43" s="81"/>
      <c r="V43" s="81"/>
      <c r="W43" s="81"/>
    </row>
    <row r="44" spans="1:23" s="73" customFormat="1" ht="12.75">
      <c r="A44" s="120"/>
      <c r="B44" s="118"/>
      <c r="C44" s="118"/>
      <c r="D44" s="72"/>
      <c r="E44" s="138"/>
      <c r="F44" s="139"/>
      <c r="G44" s="140"/>
      <c r="H44" s="141">
        <v>39433.322916666664</v>
      </c>
      <c r="I44" s="141">
        <v>39433.34027777778</v>
      </c>
      <c r="J44" s="142"/>
      <c r="K44" s="142">
        <f>(I44-H44)*24</f>
        <v>0.41666666680248454</v>
      </c>
      <c r="L44" s="143" t="s">
        <v>84</v>
      </c>
      <c r="M44" s="143" t="s">
        <v>84</v>
      </c>
      <c r="N44" s="143" t="s">
        <v>84</v>
      </c>
      <c r="O44" s="144" t="s">
        <v>26</v>
      </c>
      <c r="P44" s="138"/>
      <c r="Q44" s="79">
        <f>IF($O44="Store Lost",1,"")</f>
        <v>1</v>
      </c>
      <c r="R44" s="79">
        <f>IF($L44="Scheduled",1,"")</f>
      </c>
      <c r="S44" s="79">
        <f>IF($O44="Inhibits beam to user",1,"")</f>
      </c>
      <c r="T44" s="80">
        <f t="shared" si="6"/>
        <v>1</v>
      </c>
      <c r="U44" s="3"/>
      <c r="V44" s="3"/>
      <c r="W44" s="3"/>
    </row>
    <row r="45" spans="1:23" s="73" customFormat="1" ht="12.75">
      <c r="A45" s="120"/>
      <c r="B45" s="118"/>
      <c r="C45" s="118"/>
      <c r="D45" s="72"/>
      <c r="E45" s="131"/>
      <c r="F45" s="132"/>
      <c r="G45" s="133"/>
      <c r="H45" s="134">
        <v>39433.34027777778</v>
      </c>
      <c r="I45" s="134">
        <v>39433.34722222222</v>
      </c>
      <c r="J45" s="135"/>
      <c r="K45" s="135">
        <f>(I45-H45)*24</f>
        <v>0.16666666651144624</v>
      </c>
      <c r="L45" s="136" t="s">
        <v>39</v>
      </c>
      <c r="M45" s="136" t="s">
        <v>39</v>
      </c>
      <c r="N45" s="136" t="s">
        <v>39</v>
      </c>
      <c r="O45" s="137" t="s">
        <v>83</v>
      </c>
      <c r="P45" s="131" t="s">
        <v>88</v>
      </c>
      <c r="Q45" s="79">
        <f>IF($O45="Store Lost",1,"")</f>
      </c>
      <c r="R45" s="79">
        <f>IF($L45="Scheduled",1,"")</f>
      </c>
      <c r="S45" s="79">
        <f>IF($O45="Inhibits beam to user",1,"")</f>
        <v>1</v>
      </c>
      <c r="T45" s="80">
        <f t="shared" si="6"/>
        <v>1</v>
      </c>
      <c r="U45" s="3"/>
      <c r="V45" s="3"/>
      <c r="W45" s="3"/>
    </row>
    <row r="46" spans="1:23" s="73" customFormat="1" ht="12.75">
      <c r="A46" s="120"/>
      <c r="B46" s="118"/>
      <c r="C46" s="118"/>
      <c r="D46" s="72"/>
      <c r="E46" s="138"/>
      <c r="F46" s="139"/>
      <c r="G46" s="140"/>
      <c r="H46" s="141">
        <v>39433.34722222222</v>
      </c>
      <c r="I46" s="141">
        <v>39433.368055555555</v>
      </c>
      <c r="J46" s="142"/>
      <c r="K46" s="142">
        <f>(I46-H46)*24</f>
        <v>0.5000000000582077</v>
      </c>
      <c r="L46" s="143" t="s">
        <v>85</v>
      </c>
      <c r="M46" s="143" t="s">
        <v>85</v>
      </c>
      <c r="N46" s="143" t="s">
        <v>85</v>
      </c>
      <c r="O46" s="144" t="s">
        <v>83</v>
      </c>
      <c r="P46" s="138"/>
      <c r="Q46" s="79">
        <f>IF($O46="Store Lost",1,"")</f>
      </c>
      <c r="R46" s="79">
        <f>IF($L46="Scheduled",1,"")</f>
      </c>
      <c r="S46" s="79">
        <f>IF($O46="Inhibits beam to user",1,"")</f>
        <v>1</v>
      </c>
      <c r="T46" s="80">
        <f t="shared" si="6"/>
        <v>1</v>
      </c>
      <c r="U46" s="3"/>
      <c r="V46" s="3"/>
      <c r="W46" s="3"/>
    </row>
    <row r="47" spans="1:23" s="73" customFormat="1" ht="12.75">
      <c r="A47" s="120">
        <v>31</v>
      </c>
      <c r="B47" s="118">
        <v>39433.368055555555</v>
      </c>
      <c r="C47" s="118">
        <v>39435.333333333336</v>
      </c>
      <c r="D47" s="72">
        <f>(C47-B47)*24</f>
        <v>47.16666666674428</v>
      </c>
      <c r="E47" s="121" t="s">
        <v>38</v>
      </c>
      <c r="F47" s="122"/>
      <c r="G47" s="123"/>
      <c r="H47" s="118"/>
      <c r="I47" s="118"/>
      <c r="J47" s="72">
        <f>(I47-H47)*24</f>
        <v>0</v>
      </c>
      <c r="K47" s="72">
        <f>(I47-H47)*24</f>
        <v>0</v>
      </c>
      <c r="L47" s="124" t="s">
        <v>24</v>
      </c>
      <c r="M47" s="124"/>
      <c r="N47" s="124"/>
      <c r="O47" s="125"/>
      <c r="P47" s="121"/>
      <c r="Q47" s="79">
        <f t="shared" si="0"/>
      </c>
      <c r="R47" s="79">
        <f t="shared" si="1"/>
        <v>1</v>
      </c>
      <c r="S47" s="79">
        <f t="shared" si="2"/>
      </c>
      <c r="T47" s="80">
        <f t="shared" si="6"/>
        <v>1</v>
      </c>
      <c r="U47" s="3"/>
      <c r="V47" s="3"/>
      <c r="W47" s="3"/>
    </row>
    <row r="48" spans="1:23" s="73" customFormat="1" ht="12.75">
      <c r="A48" s="63"/>
      <c r="B48" s="64"/>
      <c r="C48" s="64"/>
      <c r="D48" s="65">
        <f>SUM(D43:D47)</f>
        <v>166.91666666662786</v>
      </c>
      <c r="E48" s="66"/>
      <c r="F48" s="67"/>
      <c r="G48" s="68"/>
      <c r="H48" s="64"/>
      <c r="I48" s="64"/>
      <c r="J48" s="65">
        <f>SUM(J43:J47)</f>
        <v>1.0833333333721384</v>
      </c>
      <c r="K48" s="65">
        <f>SUM(K43:K47)</f>
        <v>1.0833333333721384</v>
      </c>
      <c r="L48" s="69"/>
      <c r="M48" s="70"/>
      <c r="N48" s="70"/>
      <c r="O48" s="71"/>
      <c r="P48" s="66"/>
      <c r="Q48" s="79">
        <f t="shared" si="0"/>
      </c>
      <c r="R48" s="79">
        <f t="shared" si="1"/>
      </c>
      <c r="S48" s="79">
        <f t="shared" si="2"/>
      </c>
      <c r="T48" s="80">
        <f t="shared" si="6"/>
        <v>0</v>
      </c>
      <c r="U48" s="3"/>
      <c r="V48" s="3"/>
      <c r="W48" s="3"/>
    </row>
    <row r="49" spans="1:18" ht="14.25" customHeight="1">
      <c r="A49" s="28"/>
      <c r="B49" s="15"/>
      <c r="C49" s="15"/>
      <c r="D49" s="74"/>
      <c r="E49" s="13"/>
      <c r="F49" s="49"/>
      <c r="G49" s="47"/>
      <c r="K49" s="19"/>
      <c r="Q49" s="79">
        <f t="shared" si="0"/>
      </c>
      <c r="R49" s="1">
        <f>IF($P50="Store Lost",1,"")</f>
      </c>
    </row>
    <row r="50" spans="1:18" ht="12.75">
      <c r="A50" s="28"/>
      <c r="B50" s="15"/>
      <c r="C50" s="15"/>
      <c r="D50" s="7"/>
      <c r="E50" s="13"/>
      <c r="F50" s="49"/>
      <c r="G50" s="47"/>
      <c r="K50" s="19"/>
      <c r="Q50" s="8"/>
      <c r="R50" s="1">
        <f>IF($P51="Store Lost",1,"")</f>
      </c>
    </row>
    <row r="51" spans="1:18" ht="12.75">
      <c r="A51" s="28"/>
      <c r="B51" s="15"/>
      <c r="C51" s="12" t="s">
        <v>15</v>
      </c>
      <c r="D51" s="39">
        <f>Q53</f>
        <v>15</v>
      </c>
      <c r="E51" s="13"/>
      <c r="F51" s="49"/>
      <c r="G51" s="47"/>
      <c r="H51" s="30"/>
      <c r="I51" s="30"/>
      <c r="J51" s="44" t="s">
        <v>8</v>
      </c>
      <c r="K51" s="53"/>
      <c r="L51" s="54"/>
      <c r="M51" s="55"/>
      <c r="N51" s="55"/>
      <c r="O51" s="62"/>
      <c r="P51" s="8"/>
      <c r="R51" s="1">
        <f>IF($L51="Scheduled",1,"")</f>
      </c>
    </row>
    <row r="52" spans="1:18" ht="12.75">
      <c r="A52" s="28"/>
      <c r="B52" s="15"/>
      <c r="C52" s="12" t="s">
        <v>18</v>
      </c>
      <c r="D52" s="39">
        <f>D53-D51</f>
        <v>11</v>
      </c>
      <c r="E52" s="13"/>
      <c r="F52" s="49"/>
      <c r="G52" s="47"/>
      <c r="H52" s="30"/>
      <c r="I52" s="30"/>
      <c r="J52" s="7" t="s">
        <v>9</v>
      </c>
      <c r="K52" s="33" t="s">
        <v>10</v>
      </c>
      <c r="L52" s="54"/>
      <c r="M52" s="55"/>
      <c r="N52" s="55"/>
      <c r="O52" s="62"/>
      <c r="P52" s="8"/>
      <c r="R52" s="1">
        <f>IF($L52="Scheduled",1,"")</f>
      </c>
    </row>
    <row r="53" spans="1:20" ht="13.5" thickBot="1">
      <c r="A53" s="28"/>
      <c r="B53" s="15"/>
      <c r="C53" s="12" t="s">
        <v>14</v>
      </c>
      <c r="D53" s="40">
        <f>COUNT(A6:A49)</f>
        <v>26</v>
      </c>
      <c r="E53" s="13"/>
      <c r="F53" s="49"/>
      <c r="G53" s="47"/>
      <c r="H53" s="30"/>
      <c r="I53" s="30"/>
      <c r="J53" s="24">
        <f>SUM(J6:J49)/2</f>
        <v>13.899999999382999</v>
      </c>
      <c r="K53" s="24">
        <f>SUM(K6:K49)/2</f>
        <v>13.899999999382999</v>
      </c>
      <c r="L53" s="54"/>
      <c r="M53" s="55"/>
      <c r="N53" s="55"/>
      <c r="O53" s="62"/>
      <c r="P53" s="8"/>
      <c r="Q53" s="40">
        <f>SUM(Q1:Q49)</f>
        <v>15</v>
      </c>
      <c r="R53" s="40">
        <f>SUM(R1:R49)</f>
        <v>11</v>
      </c>
      <c r="S53" s="40">
        <f>SUM(S1:S49)</f>
        <v>4</v>
      </c>
      <c r="T53" s="41">
        <f>SUM(Q53:S53)</f>
        <v>30</v>
      </c>
    </row>
    <row r="54" spans="1:19" ht="13.5" thickTop="1">
      <c r="A54" s="28"/>
      <c r="B54" s="15"/>
      <c r="C54" s="12"/>
      <c r="D54" s="7"/>
      <c r="E54" s="13"/>
      <c r="F54" s="49"/>
      <c r="G54" s="47"/>
      <c r="H54" s="30"/>
      <c r="I54" s="30"/>
      <c r="J54" s="7"/>
      <c r="K54" s="32"/>
      <c r="L54" s="54"/>
      <c r="M54" s="55"/>
      <c r="N54" s="55"/>
      <c r="O54" s="54"/>
      <c r="P54" s="8"/>
      <c r="Q54" s="1" t="s">
        <v>27</v>
      </c>
      <c r="R54" s="2" t="s">
        <v>24</v>
      </c>
      <c r="S54" s="1" t="s">
        <v>28</v>
      </c>
    </row>
    <row r="55" spans="1:29" ht="12.75">
      <c r="A55" s="28"/>
      <c r="B55" s="15"/>
      <c r="C55" s="12" t="s">
        <v>11</v>
      </c>
      <c r="D55" s="7">
        <f>SUM(D6:D49)/2</f>
        <v>1563.1000000005588</v>
      </c>
      <c r="E55" s="17">
        <f>D55/24</f>
        <v>65.12916666668995</v>
      </c>
      <c r="F55" s="51" t="s">
        <v>35</v>
      </c>
      <c r="G55" s="47"/>
      <c r="H55" s="30"/>
      <c r="I55" s="30"/>
      <c r="J55" s="7"/>
      <c r="K55" s="32"/>
      <c r="L55" s="54"/>
      <c r="M55" s="55"/>
      <c r="N55" s="55"/>
      <c r="O55" s="54"/>
      <c r="P55" s="8"/>
      <c r="Q55" s="1">
        <f>IF($O57="Store Lost",1,"")</f>
      </c>
      <c r="T55" s="41"/>
      <c r="AA55" s="3"/>
      <c r="AB55" s="3"/>
      <c r="AC55" s="3"/>
    </row>
    <row r="56" spans="1:17" ht="12.75">
      <c r="A56" s="28"/>
      <c r="B56" s="15"/>
      <c r="C56" s="12" t="s">
        <v>12</v>
      </c>
      <c r="D56" s="7">
        <f>J53</f>
        <v>13.899999999382999</v>
      </c>
      <c r="E56" s="13" t="s">
        <v>31</v>
      </c>
      <c r="F56" s="49"/>
      <c r="G56" s="47"/>
      <c r="H56" s="30"/>
      <c r="I56" s="30"/>
      <c r="J56" s="7"/>
      <c r="K56" s="32"/>
      <c r="L56" s="54"/>
      <c r="M56" s="55"/>
      <c r="N56" s="55"/>
      <c r="O56" s="54"/>
      <c r="P56" s="8"/>
      <c r="Q56" s="1">
        <f>IF($O58="Store Lost",1,"")</f>
      </c>
    </row>
    <row r="57" spans="1:26" ht="13.5" thickBot="1">
      <c r="A57" s="28"/>
      <c r="B57" s="15"/>
      <c r="C57" s="12" t="s">
        <v>13</v>
      </c>
      <c r="D57" s="40">
        <f>SUM(D55:D56)</f>
        <v>1576.9999999999418</v>
      </c>
      <c r="E57" s="17"/>
      <c r="F57" s="49"/>
      <c r="G57" s="47"/>
      <c r="H57" s="30"/>
      <c r="I57" s="30"/>
      <c r="J57" s="7"/>
      <c r="K57" s="32"/>
      <c r="L57" s="54"/>
      <c r="M57" s="55"/>
      <c r="N57" s="55"/>
      <c r="O57" s="54"/>
      <c r="P57" s="8"/>
      <c r="Q57" s="1">
        <f>IF($O59="Store Lost",1,"")</f>
      </c>
      <c r="U57" s="3"/>
      <c r="V57" s="3"/>
      <c r="W57" s="3"/>
      <c r="X57" s="3"/>
      <c r="Y57" s="3"/>
      <c r="Z57" s="3"/>
    </row>
    <row r="58" spans="1:18" ht="13.5" thickTop="1">
      <c r="A58" s="28"/>
      <c r="B58" s="15"/>
      <c r="C58" s="12"/>
      <c r="D58" s="25"/>
      <c r="E58" s="46"/>
      <c r="F58" s="49"/>
      <c r="G58" s="47"/>
      <c r="H58" s="7"/>
      <c r="I58" s="30"/>
      <c r="J58" s="7"/>
      <c r="K58" s="32"/>
      <c r="L58" s="54"/>
      <c r="M58" s="55"/>
      <c r="N58" s="55"/>
      <c r="O58" s="54"/>
      <c r="P58" s="8"/>
      <c r="Q58" s="42">
        <f>Q53+R53</f>
        <v>26</v>
      </c>
      <c r="R58" s="1">
        <f aca="true" t="shared" si="7" ref="R58:R72">IF($P60="Store Lost",1,"")</f>
      </c>
    </row>
    <row r="59" spans="1:20" ht="12.75">
      <c r="A59" s="28"/>
      <c r="B59" s="15"/>
      <c r="C59" s="12"/>
      <c r="D59" s="25"/>
      <c r="E59" s="13"/>
      <c r="F59" s="49"/>
      <c r="G59" s="47"/>
      <c r="H59" s="30"/>
      <c r="I59" s="30"/>
      <c r="J59" s="7"/>
      <c r="K59" s="32"/>
      <c r="L59" s="54"/>
      <c r="M59" s="55"/>
      <c r="N59" s="55"/>
      <c r="O59" s="54"/>
      <c r="P59" s="8"/>
      <c r="Q59" s="8"/>
      <c r="R59" s="1">
        <f t="shared" si="7"/>
      </c>
      <c r="S59" s="3"/>
      <c r="T59" s="3"/>
    </row>
    <row r="60" spans="1:18" ht="12.75">
      <c r="A60" s="28"/>
      <c r="B60" s="15"/>
      <c r="C60" s="12" t="s">
        <v>29</v>
      </c>
      <c r="D60" s="26">
        <f>IF(D51,D55/D51,D55)</f>
        <v>104.20666666670392</v>
      </c>
      <c r="E60" s="13"/>
      <c r="F60" s="49"/>
      <c r="G60" s="47"/>
      <c r="J60" s="31"/>
      <c r="K60" s="19"/>
      <c r="Q60" s="8"/>
      <c r="R60" s="1">
        <f t="shared" si="7"/>
      </c>
    </row>
    <row r="61" spans="1:18" ht="12.75">
      <c r="A61" s="28"/>
      <c r="B61" s="15"/>
      <c r="C61" s="12" t="s">
        <v>16</v>
      </c>
      <c r="D61" s="25">
        <f>IF(D51,24/D60,0)</f>
        <v>0.2303115603607391</v>
      </c>
      <c r="E61" s="75"/>
      <c r="F61" s="77"/>
      <c r="G61" s="76"/>
      <c r="K61" s="19"/>
      <c r="Q61" s="8"/>
      <c r="R61" s="1" t="e">
        <f>IF(#REF!="Store Lost",1,"")</f>
        <v>#REF!</v>
      </c>
    </row>
    <row r="62" spans="1:18" ht="12.75">
      <c r="A62" s="28"/>
      <c r="B62" s="15"/>
      <c r="C62" s="12" t="s">
        <v>17</v>
      </c>
      <c r="D62" s="35">
        <f>D55/D57</f>
        <v>0.9911857958152293</v>
      </c>
      <c r="E62" s="20"/>
      <c r="F62" s="49"/>
      <c r="G62" s="47"/>
      <c r="K62" s="19"/>
      <c r="Q62" s="8"/>
      <c r="R62" s="1" t="e">
        <f>IF(#REF!="Store Lost",1,"")</f>
        <v>#REF!</v>
      </c>
    </row>
    <row r="63" spans="1:18" ht="12.75">
      <c r="A63" s="28"/>
      <c r="B63" s="15"/>
      <c r="C63" s="15"/>
      <c r="D63" s="7"/>
      <c r="E63" s="13"/>
      <c r="F63" s="49"/>
      <c r="G63" s="47"/>
      <c r="K63" s="19"/>
      <c r="Q63" s="8"/>
      <c r="R63" s="1">
        <f t="shared" si="7"/>
      </c>
    </row>
    <row r="64" spans="1:18" ht="12.75">
      <c r="A64" s="28"/>
      <c r="B64" s="15"/>
      <c r="C64" s="15"/>
      <c r="D64" s="7"/>
      <c r="E64" s="13"/>
      <c r="F64" s="49"/>
      <c r="G64" s="47"/>
      <c r="K64" s="19"/>
      <c r="Q64" s="8"/>
      <c r="R64" s="1">
        <f t="shared" si="7"/>
      </c>
    </row>
    <row r="65" spans="1:18" ht="12.75">
      <c r="A65" s="28"/>
      <c r="B65" s="15"/>
      <c r="C65" s="15"/>
      <c r="D65" s="7"/>
      <c r="E65" s="13"/>
      <c r="F65" s="49"/>
      <c r="G65" s="47"/>
      <c r="K65" s="19"/>
      <c r="Q65" s="8"/>
      <c r="R65" s="1">
        <f t="shared" si="7"/>
      </c>
    </row>
    <row r="66" spans="1:29" s="5" customFormat="1" ht="13.5" thickBot="1">
      <c r="A66" s="28"/>
      <c r="B66" s="15"/>
      <c r="C66" s="15"/>
      <c r="D66" s="7"/>
      <c r="E66" s="13"/>
      <c r="F66" s="49"/>
      <c r="G66" s="47"/>
      <c r="H66" s="31"/>
      <c r="I66" s="31"/>
      <c r="J66" s="21"/>
      <c r="K66" s="19"/>
      <c r="L66" s="60"/>
      <c r="M66" s="61"/>
      <c r="N66" s="61"/>
      <c r="O66" s="60"/>
      <c r="P66" s="9"/>
      <c r="Q66" s="8"/>
      <c r="R66" s="1">
        <f t="shared" si="7"/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18" ht="12.75">
      <c r="A67" s="28"/>
      <c r="B67" s="15"/>
      <c r="C67" s="15"/>
      <c r="D67" s="7"/>
      <c r="E67" s="13"/>
      <c r="F67" s="49"/>
      <c r="G67" s="47"/>
      <c r="K67" s="19"/>
      <c r="Q67" s="8"/>
      <c r="R67" s="1">
        <f t="shared" si="7"/>
      </c>
    </row>
    <row r="68" spans="1:18" ht="12.75">
      <c r="A68" s="28"/>
      <c r="B68" s="15"/>
      <c r="C68" s="15"/>
      <c r="D68" s="7"/>
      <c r="E68" s="13"/>
      <c r="F68" s="49"/>
      <c r="G68" s="47"/>
      <c r="K68" s="19"/>
      <c r="Q68" s="8"/>
      <c r="R68" s="1">
        <f t="shared" si="7"/>
      </c>
    </row>
    <row r="69" spans="1:18" ht="12.75">
      <c r="A69" s="28"/>
      <c r="B69" s="15"/>
      <c r="C69" s="15"/>
      <c r="D69" s="7"/>
      <c r="E69" s="13"/>
      <c r="F69" s="49"/>
      <c r="G69" s="47"/>
      <c r="K69" s="19"/>
      <c r="Q69" s="8"/>
      <c r="R69" s="1">
        <f t="shared" si="7"/>
      </c>
    </row>
    <row r="70" spans="1:18" ht="12.75">
      <c r="A70" s="28"/>
      <c r="B70" s="15"/>
      <c r="C70" s="15"/>
      <c r="D70" s="7"/>
      <c r="E70" s="13"/>
      <c r="F70" s="49"/>
      <c r="G70" s="47"/>
      <c r="K70" s="19"/>
      <c r="Q70" s="8"/>
      <c r="R70" s="1">
        <f t="shared" si="7"/>
      </c>
    </row>
    <row r="71" spans="1:18" ht="12.75">
      <c r="A71" s="28"/>
      <c r="B71" s="15"/>
      <c r="C71" s="15"/>
      <c r="D71" s="7"/>
      <c r="E71" s="13"/>
      <c r="F71" s="49"/>
      <c r="G71" s="47"/>
      <c r="K71" s="19"/>
      <c r="Q71" s="8"/>
      <c r="R71" s="1">
        <f t="shared" si="7"/>
      </c>
    </row>
    <row r="72" spans="1:18" ht="12.75">
      <c r="A72" s="28"/>
      <c r="B72" s="15"/>
      <c r="C72" s="15"/>
      <c r="D72" s="7"/>
      <c r="E72" s="13"/>
      <c r="F72" s="49"/>
      <c r="G72" s="47"/>
      <c r="K72" s="19"/>
      <c r="Q72" s="8"/>
      <c r="R72" s="1">
        <f t="shared" si="7"/>
      </c>
    </row>
    <row r="73" spans="1:11" ht="12.75">
      <c r="A73" s="28"/>
      <c r="B73" s="15"/>
      <c r="C73" s="15"/>
      <c r="D73" s="7"/>
      <c r="E73" s="13"/>
      <c r="F73" s="49"/>
      <c r="G73" s="47"/>
      <c r="K73" s="19"/>
    </row>
    <row r="74" spans="1:11" ht="12.75">
      <c r="A74" s="28"/>
      <c r="B74" s="15"/>
      <c r="C74" s="15"/>
      <c r="D74" s="7"/>
      <c r="E74" s="13"/>
      <c r="F74" s="49"/>
      <c r="G74" s="47"/>
      <c r="K74" s="19"/>
    </row>
    <row r="75" spans="1:29" s="4" customFormat="1" ht="13.5" thickBot="1">
      <c r="A75" s="28"/>
      <c r="B75" s="15"/>
      <c r="C75" s="15"/>
      <c r="D75" s="7"/>
      <c r="E75" s="13"/>
      <c r="F75" s="49"/>
      <c r="G75" s="47"/>
      <c r="H75" s="30"/>
      <c r="I75" s="30"/>
      <c r="J75" s="7"/>
      <c r="K75" s="32"/>
      <c r="L75" s="54"/>
      <c r="M75" s="55"/>
      <c r="N75" s="55"/>
      <c r="O75" s="54"/>
      <c r="P75" s="8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3" customFormat="1" ht="14.25" thickBot="1" thickTop="1">
      <c r="A76" s="28"/>
      <c r="B76" s="15"/>
      <c r="C76" s="15"/>
      <c r="D76" s="21"/>
      <c r="E76" s="13"/>
      <c r="F76" s="49"/>
      <c r="G76" s="47"/>
      <c r="H76" s="30"/>
      <c r="I76" s="30"/>
      <c r="J76" s="21"/>
      <c r="K76" s="34"/>
      <c r="L76" s="54"/>
      <c r="M76" s="55"/>
      <c r="N76" s="55"/>
      <c r="O76" s="54"/>
      <c r="P76" s="8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5"/>
      <c r="AC76" s="5"/>
    </row>
    <row r="77" spans="1:16" ht="12.75">
      <c r="A77" s="28"/>
      <c r="B77" s="15"/>
      <c r="C77" s="15"/>
      <c r="E77" s="13"/>
      <c r="F77" s="49"/>
      <c r="G77" s="47"/>
      <c r="H77" s="30"/>
      <c r="I77" s="30"/>
      <c r="L77" s="54"/>
      <c r="M77" s="55"/>
      <c r="N77" s="55"/>
      <c r="O77" s="54"/>
      <c r="P77" s="8"/>
    </row>
    <row r="78" spans="1:26" ht="13.5" thickBot="1">
      <c r="A78" s="28"/>
      <c r="B78" s="15"/>
      <c r="C78" s="15"/>
      <c r="E78" s="13"/>
      <c r="F78" s="49"/>
      <c r="G78" s="47"/>
      <c r="H78" s="30"/>
      <c r="I78" s="30"/>
      <c r="L78" s="54"/>
      <c r="M78" s="55"/>
      <c r="N78" s="55"/>
      <c r="O78" s="54"/>
      <c r="P78" s="8"/>
      <c r="U78" s="5"/>
      <c r="V78" s="5"/>
      <c r="W78" s="5"/>
      <c r="X78" s="5"/>
      <c r="Y78" s="5"/>
      <c r="Z78" s="5"/>
    </row>
    <row r="79" spans="1:16" ht="12.75">
      <c r="A79" s="28"/>
      <c r="B79" s="15"/>
      <c r="C79" s="15"/>
      <c r="F79" s="49"/>
      <c r="G79" s="47"/>
      <c r="H79" s="30"/>
      <c r="I79" s="30"/>
      <c r="L79" s="54"/>
      <c r="M79" s="55"/>
      <c r="N79" s="55"/>
      <c r="O79" s="54"/>
      <c r="P79" s="8"/>
    </row>
    <row r="80" spans="2:20" ht="13.5" thickBot="1">
      <c r="B80" s="15"/>
      <c r="C80" s="15"/>
      <c r="F80" s="49"/>
      <c r="G80" s="47"/>
      <c r="H80" s="30"/>
      <c r="I80" s="30"/>
      <c r="L80" s="54"/>
      <c r="M80" s="55"/>
      <c r="N80" s="55"/>
      <c r="O80" s="54"/>
      <c r="P80" s="8"/>
      <c r="R80" s="5"/>
      <c r="S80" s="5"/>
      <c r="T80" s="5"/>
    </row>
    <row r="81" spans="2:16" ht="12.75">
      <c r="B81" s="15"/>
      <c r="C81" s="15"/>
      <c r="F81" s="49"/>
      <c r="G81" s="47"/>
      <c r="H81" s="30"/>
      <c r="I81" s="30"/>
      <c r="L81" s="54"/>
      <c r="M81" s="55"/>
      <c r="N81" s="55"/>
      <c r="O81" s="54"/>
      <c r="P81" s="8"/>
    </row>
    <row r="82" spans="2:17" ht="12.75">
      <c r="B82" s="15"/>
      <c r="C82" s="15"/>
      <c r="F82" s="49"/>
      <c r="G82" s="47"/>
      <c r="H82" s="30"/>
      <c r="I82" s="30"/>
      <c r="L82" s="54"/>
      <c r="M82" s="55"/>
      <c r="N82" s="55"/>
      <c r="O82" s="54"/>
      <c r="P82" s="8"/>
      <c r="Q82" s="1">
        <f aca="true" t="shared" si="8" ref="Q82:Q139">IF($O84="Store Lost",1,"")</f>
      </c>
    </row>
    <row r="83" spans="2:17" ht="12.75">
      <c r="B83" s="15"/>
      <c r="C83" s="15"/>
      <c r="F83" s="49"/>
      <c r="G83" s="47"/>
      <c r="H83" s="30"/>
      <c r="I83" s="30"/>
      <c r="L83" s="54"/>
      <c r="M83" s="55"/>
      <c r="N83" s="55"/>
      <c r="O83" s="54"/>
      <c r="P83" s="8"/>
      <c r="Q83" s="1">
        <f t="shared" si="8"/>
      </c>
    </row>
    <row r="84" spans="2:17" ht="12.75">
      <c r="B84" s="15"/>
      <c r="C84" s="15"/>
      <c r="Q84" s="1">
        <f t="shared" si="8"/>
      </c>
    </row>
    <row r="85" spans="17:29" ht="13.5" thickBot="1">
      <c r="Q85" s="1">
        <f t="shared" si="8"/>
      </c>
      <c r="AA85" s="4"/>
      <c r="AB85" s="4"/>
      <c r="AC85" s="4"/>
    </row>
    <row r="86" spans="17:29" ht="13.5" thickTop="1">
      <c r="Q86" s="1">
        <f t="shared" si="8"/>
      </c>
      <c r="AA86" s="3"/>
      <c r="AB86" s="3"/>
      <c r="AC86" s="3"/>
    </row>
    <row r="87" spans="17:26" ht="13.5" thickBot="1">
      <c r="Q87" s="1">
        <f t="shared" si="8"/>
      </c>
      <c r="U87" s="4"/>
      <c r="V87" s="4"/>
      <c r="W87" s="4"/>
      <c r="X87" s="4"/>
      <c r="Y87" s="4"/>
      <c r="Z87" s="4"/>
    </row>
    <row r="88" spans="17:26" ht="13.5" thickTop="1">
      <c r="Q88" s="1">
        <f t="shared" si="8"/>
      </c>
      <c r="U88" s="3"/>
      <c r="V88" s="3"/>
      <c r="W88" s="3"/>
      <c r="X88" s="3"/>
      <c r="Y88" s="3"/>
      <c r="Z88" s="3"/>
    </row>
    <row r="89" spans="1:29" s="5" customFormat="1" ht="13.5" thickBot="1">
      <c r="A89" s="29"/>
      <c r="B89" s="18"/>
      <c r="C89" s="18"/>
      <c r="D89" s="21"/>
      <c r="E89" s="22"/>
      <c r="F89" s="50"/>
      <c r="G89" s="48"/>
      <c r="H89" s="31"/>
      <c r="I89" s="31"/>
      <c r="J89" s="21"/>
      <c r="K89" s="34"/>
      <c r="L89" s="60"/>
      <c r="M89" s="61"/>
      <c r="N89" s="61"/>
      <c r="O89" s="60"/>
      <c r="P89" s="9"/>
      <c r="Q89" s="1">
        <f t="shared" si="8"/>
      </c>
      <c r="R89" s="4"/>
      <c r="S89" s="4"/>
      <c r="T89" s="4"/>
      <c r="U89" s="1"/>
      <c r="V89" s="1"/>
      <c r="W89" s="1"/>
      <c r="X89" s="1"/>
      <c r="Y89" s="1"/>
      <c r="Z89" s="1"/>
      <c r="AA89" s="1"/>
      <c r="AB89" s="1"/>
      <c r="AC89" s="1"/>
    </row>
    <row r="90" spans="17:20" ht="13.5" thickTop="1">
      <c r="Q90" s="1">
        <f t="shared" si="8"/>
      </c>
      <c r="R90" s="3"/>
      <c r="S90" s="3"/>
      <c r="T90" s="3"/>
    </row>
    <row r="91" ht="12.75">
      <c r="Q91" s="1">
        <f t="shared" si="8"/>
      </c>
    </row>
    <row r="92" ht="12.75">
      <c r="Q92" s="1">
        <f t="shared" si="8"/>
      </c>
    </row>
    <row r="93" ht="12.75">
      <c r="Q93" s="1">
        <f t="shared" si="8"/>
      </c>
    </row>
    <row r="94" ht="12.75">
      <c r="Q94" s="1">
        <f t="shared" si="8"/>
      </c>
    </row>
    <row r="95" ht="12.75">
      <c r="Q95" s="1">
        <f t="shared" si="8"/>
      </c>
    </row>
    <row r="96" ht="12.75">
      <c r="Q96" s="1">
        <f t="shared" si="8"/>
      </c>
    </row>
    <row r="97" ht="12.75">
      <c r="Q97" s="1">
        <f t="shared" si="8"/>
      </c>
    </row>
    <row r="98" ht="12.75">
      <c r="Q98" s="1">
        <f t="shared" si="8"/>
      </c>
    </row>
    <row r="99" spans="17:29" ht="13.5" thickBot="1">
      <c r="Q99" s="1">
        <f t="shared" si="8"/>
      </c>
      <c r="AA99" s="5"/>
      <c r="AB99" s="5"/>
      <c r="AC99" s="5"/>
    </row>
    <row r="100" ht="12.75">
      <c r="Q100" s="1">
        <f t="shared" si="8"/>
      </c>
    </row>
    <row r="101" spans="17:26" ht="13.5" thickBot="1">
      <c r="Q101" s="1">
        <f t="shared" si="8"/>
      </c>
      <c r="U101" s="5"/>
      <c r="V101" s="5"/>
      <c r="W101" s="5"/>
      <c r="X101" s="5"/>
      <c r="Y101" s="5"/>
      <c r="Z101" s="5"/>
    </row>
    <row r="102" spans="1:29" s="5" customFormat="1" ht="13.5" thickBot="1">
      <c r="A102" s="29"/>
      <c r="B102" s="18"/>
      <c r="C102" s="18"/>
      <c r="D102" s="21"/>
      <c r="E102" s="22"/>
      <c r="F102" s="50"/>
      <c r="G102" s="48"/>
      <c r="H102" s="31"/>
      <c r="I102" s="31"/>
      <c r="J102" s="21"/>
      <c r="K102" s="34"/>
      <c r="L102" s="60"/>
      <c r="M102" s="61"/>
      <c r="N102" s="61"/>
      <c r="O102" s="60"/>
      <c r="P102" s="9"/>
      <c r="Q102" s="1">
        <f t="shared" si="8"/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s="3" customFormat="1" ht="13.5" thickBot="1">
      <c r="A103" s="29"/>
      <c r="B103" s="18"/>
      <c r="C103" s="18"/>
      <c r="D103" s="21"/>
      <c r="E103" s="22"/>
      <c r="F103" s="50"/>
      <c r="G103" s="48"/>
      <c r="H103" s="31"/>
      <c r="I103" s="31"/>
      <c r="J103" s="21"/>
      <c r="K103" s="34"/>
      <c r="L103" s="60"/>
      <c r="M103" s="61"/>
      <c r="N103" s="61"/>
      <c r="O103" s="60"/>
      <c r="P103" s="9"/>
      <c r="Q103" s="1">
        <f t="shared" si="8"/>
      </c>
      <c r="R103" s="5"/>
      <c r="S103" s="5"/>
      <c r="T103" s="5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s="5" customFormat="1" ht="13.5" thickBot="1">
      <c r="A104" s="29"/>
      <c r="B104" s="18"/>
      <c r="C104" s="18"/>
      <c r="D104" s="21"/>
      <c r="E104" s="22"/>
      <c r="F104" s="50"/>
      <c r="G104" s="48"/>
      <c r="H104" s="31"/>
      <c r="I104" s="31"/>
      <c r="J104" s="21"/>
      <c r="K104" s="34"/>
      <c r="L104" s="60"/>
      <c r="M104" s="61"/>
      <c r="N104" s="61"/>
      <c r="O104" s="60"/>
      <c r="P104" s="9"/>
      <c r="Q104" s="1">
        <f t="shared" si="8"/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ht="12.75">
      <c r="Q105" s="1">
        <f t="shared" si="8"/>
      </c>
    </row>
    <row r="106" ht="12.75">
      <c r="Q106" s="1">
        <f t="shared" si="8"/>
      </c>
    </row>
    <row r="107" ht="12.75">
      <c r="Q107" s="1">
        <f t="shared" si="8"/>
      </c>
    </row>
    <row r="108" ht="12.75">
      <c r="Q108" s="1">
        <f t="shared" si="8"/>
      </c>
    </row>
    <row r="109" ht="12.75">
      <c r="Q109" s="1">
        <f t="shared" si="8"/>
      </c>
    </row>
    <row r="110" ht="12.75">
      <c r="Q110" s="1">
        <f t="shared" si="8"/>
      </c>
    </row>
    <row r="111" ht="12.75">
      <c r="Q111" s="1">
        <f t="shared" si="8"/>
      </c>
    </row>
    <row r="112" spans="17:29" ht="13.5" thickBot="1">
      <c r="Q112" s="1">
        <f t="shared" si="8"/>
      </c>
      <c r="AA112" s="5"/>
      <c r="AB112" s="5"/>
      <c r="AC112" s="5"/>
    </row>
    <row r="113" spans="17:29" ht="12.75">
      <c r="Q113" s="1">
        <f t="shared" si="8"/>
      </c>
      <c r="AA113" s="3"/>
      <c r="AB113" s="3"/>
      <c r="AC113" s="3"/>
    </row>
    <row r="114" spans="17:29" ht="13.5" thickBot="1">
      <c r="Q114" s="1">
        <f t="shared" si="8"/>
      </c>
      <c r="U114" s="5"/>
      <c r="V114" s="5"/>
      <c r="W114" s="5"/>
      <c r="X114" s="5"/>
      <c r="Y114" s="5"/>
      <c r="Z114" s="5"/>
      <c r="AA114" s="5"/>
      <c r="AB114" s="5"/>
      <c r="AC114" s="5"/>
    </row>
    <row r="115" spans="17:26" ht="12.75">
      <c r="Q115" s="1">
        <f t="shared" si="8"/>
      </c>
      <c r="U115" s="3"/>
      <c r="V115" s="3"/>
      <c r="W115" s="3"/>
      <c r="X115" s="3"/>
      <c r="Y115" s="3"/>
      <c r="Z115" s="3"/>
    </row>
    <row r="116" spans="17:26" ht="13.5" thickBot="1">
      <c r="Q116" s="1">
        <f t="shared" si="8"/>
      </c>
      <c r="R116" s="5"/>
      <c r="S116" s="5"/>
      <c r="T116" s="5"/>
      <c r="U116" s="5"/>
      <c r="V116" s="5"/>
      <c r="W116" s="5"/>
      <c r="X116" s="5"/>
      <c r="Y116" s="5"/>
      <c r="Z116" s="5"/>
    </row>
    <row r="117" spans="17:20" ht="12.75">
      <c r="Q117" s="1">
        <f t="shared" si="8"/>
      </c>
      <c r="R117" s="3"/>
      <c r="S117" s="3"/>
      <c r="T117" s="3"/>
    </row>
    <row r="118" spans="17:20" ht="13.5" thickBot="1">
      <c r="Q118" s="1">
        <f t="shared" si="8"/>
      </c>
      <c r="R118" s="5"/>
      <c r="S118" s="5"/>
      <c r="T118" s="5"/>
    </row>
    <row r="119" ht="12.75">
      <c r="Q119" s="1">
        <f t="shared" si="8"/>
      </c>
    </row>
    <row r="120" ht="12.75">
      <c r="Q120" s="1">
        <f t="shared" si="8"/>
      </c>
    </row>
    <row r="121" ht="12.75">
      <c r="Q121" s="1">
        <f t="shared" si="8"/>
      </c>
    </row>
    <row r="122" ht="12.75">
      <c r="Q122" s="1">
        <f t="shared" si="8"/>
      </c>
    </row>
    <row r="123" ht="12.75">
      <c r="Q123" s="1">
        <f t="shared" si="8"/>
      </c>
    </row>
    <row r="124" ht="12.75">
      <c r="Q124" s="1">
        <f t="shared" si="8"/>
      </c>
    </row>
    <row r="125" spans="1:29" s="5" customFormat="1" ht="13.5" thickBot="1">
      <c r="A125" s="29"/>
      <c r="B125" s="18"/>
      <c r="C125" s="18"/>
      <c r="D125" s="21"/>
      <c r="E125" s="22"/>
      <c r="F125" s="50"/>
      <c r="G125" s="48"/>
      <c r="H125" s="31"/>
      <c r="I125" s="31"/>
      <c r="J125" s="21"/>
      <c r="K125" s="34"/>
      <c r="L125" s="60"/>
      <c r="M125" s="61"/>
      <c r="N125" s="61"/>
      <c r="O125" s="60"/>
      <c r="P125" s="9"/>
      <c r="Q125" s="1">
        <f t="shared" si="8"/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ht="12.75">
      <c r="Q126" s="1">
        <f t="shared" si="8"/>
      </c>
    </row>
    <row r="127" ht="12.75">
      <c r="Q127" s="1">
        <f t="shared" si="8"/>
      </c>
    </row>
    <row r="128" ht="12.75">
      <c r="Q128" s="1">
        <f t="shared" si="8"/>
      </c>
    </row>
    <row r="129" ht="12.75">
      <c r="Q129" s="1">
        <f t="shared" si="8"/>
      </c>
    </row>
    <row r="130" ht="12.75">
      <c r="Q130" s="1">
        <f t="shared" si="8"/>
      </c>
    </row>
    <row r="131" ht="12.75">
      <c r="Q131" s="1">
        <f t="shared" si="8"/>
      </c>
    </row>
    <row r="132" ht="12.75">
      <c r="Q132" s="1">
        <f t="shared" si="8"/>
      </c>
    </row>
    <row r="133" ht="12.75">
      <c r="Q133" s="1">
        <f t="shared" si="8"/>
      </c>
    </row>
    <row r="134" ht="12.75">
      <c r="Q134" s="1">
        <f t="shared" si="8"/>
      </c>
    </row>
    <row r="135" spans="17:29" ht="13.5" thickBot="1">
      <c r="Q135" s="1">
        <f t="shared" si="8"/>
      </c>
      <c r="AA135" s="5"/>
      <c r="AB135" s="5"/>
      <c r="AC135" s="5"/>
    </row>
    <row r="136" ht="12.75">
      <c r="Q136" s="1">
        <f t="shared" si="8"/>
      </c>
    </row>
    <row r="137" spans="17:26" ht="13.5" thickBot="1">
      <c r="Q137" s="1">
        <f t="shared" si="8"/>
      </c>
      <c r="U137" s="5"/>
      <c r="V137" s="5"/>
      <c r="W137" s="5"/>
      <c r="X137" s="5"/>
      <c r="Y137" s="5"/>
      <c r="Z137" s="5"/>
    </row>
    <row r="138" ht="12.75">
      <c r="Q138" s="1">
        <f t="shared" si="8"/>
      </c>
    </row>
    <row r="139" spans="17:20" ht="13.5" thickBot="1">
      <c r="Q139" s="1">
        <f t="shared" si="8"/>
      </c>
      <c r="R139" s="5"/>
      <c r="S139" s="5"/>
      <c r="T139" s="5"/>
    </row>
    <row r="143" ht="12.75">
      <c r="Q143" s="1">
        <f>COUNT(Q49:Q139)</f>
        <v>2</v>
      </c>
    </row>
  </sheetData>
  <mergeCells count="1">
    <mergeCell ref="A2:I2"/>
  </mergeCells>
  <printOptions/>
  <pageMargins left="0" right="0" top="0" bottom="0.03" header="0.19" footer="0.15"/>
  <pageSetup fitToHeight="0" fitToWidth="1" horizontalDpi="600" verticalDpi="600" orientation="landscape" paperSize="5" scale="53" r:id="rId2"/>
  <headerFooter alignWithMargins="0">
    <oddFooter>&amp;RUpdated &amp;D</oddFooter>
  </headerFooter>
  <rowBreaks count="1" manualBreakCount="1">
    <brk id="81" max="15" man="1"/>
  </rowBreaks>
  <ignoredErrors>
    <ignoredError sqref="D27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28"/>
  <sheetViews>
    <sheetView workbookViewId="0" topLeftCell="A3">
      <selection activeCell="R18" sqref="R18"/>
    </sheetView>
  </sheetViews>
  <sheetFormatPr defaultColWidth="9.140625" defaultRowHeight="12.75"/>
  <cols>
    <col min="1" max="1" width="20.421875" style="0" customWidth="1"/>
    <col min="8" max="8" width="10.28125" style="0" customWidth="1"/>
    <col min="9" max="9" width="10.57421875" style="0" customWidth="1"/>
    <col min="10" max="10" width="8.28125" style="0" customWidth="1"/>
    <col min="11" max="11" width="10.57421875" style="0" customWidth="1"/>
    <col min="12" max="14" width="8.28125" style="0" customWidth="1"/>
    <col min="15" max="15" width="12.421875" style="0" customWidth="1"/>
    <col min="16" max="16" width="9.8515625" style="0" customWidth="1"/>
    <col min="17" max="17" width="9.421875" style="0" customWidth="1"/>
    <col min="18" max="18" width="6.421875" style="0" customWidth="1"/>
    <col min="19" max="19" width="9.421875" style="0" customWidth="1"/>
    <col min="20" max="20" width="14.57421875" style="0" customWidth="1"/>
    <col min="21" max="21" width="9.00390625" style="0" customWidth="1"/>
    <col min="22" max="24" width="6.57421875" style="0" customWidth="1"/>
    <col min="25" max="25" width="11.140625" style="0" bestFit="1" customWidth="1"/>
    <col min="26" max="26" width="10.57421875" style="0" bestFit="1" customWidth="1"/>
  </cols>
  <sheetData>
    <row r="3" spans="1:8" ht="12.75">
      <c r="A3" s="91"/>
      <c r="B3" s="90" t="s">
        <v>37</v>
      </c>
      <c r="C3" s="146"/>
      <c r="D3" s="146"/>
      <c r="E3" s="146"/>
      <c r="F3" s="146"/>
      <c r="G3" s="146"/>
      <c r="H3" s="126"/>
    </row>
    <row r="4" spans="1:8" ht="12.75">
      <c r="A4" s="90" t="s">
        <v>42</v>
      </c>
      <c r="B4" s="91" t="s">
        <v>77</v>
      </c>
      <c r="C4" s="147" t="s">
        <v>36</v>
      </c>
      <c r="D4" s="147" t="s">
        <v>39</v>
      </c>
      <c r="E4" s="147" t="s">
        <v>64</v>
      </c>
      <c r="F4" s="147" t="s">
        <v>84</v>
      </c>
      <c r="G4" s="147" t="s">
        <v>85</v>
      </c>
      <c r="H4" s="92" t="s">
        <v>41</v>
      </c>
    </row>
    <row r="5" spans="1:8" ht="12.75">
      <c r="A5" s="91" t="s">
        <v>44</v>
      </c>
      <c r="B5" s="127">
        <v>0</v>
      </c>
      <c r="C5" s="148">
        <v>0</v>
      </c>
      <c r="D5" s="148">
        <v>2</v>
      </c>
      <c r="E5" s="148">
        <v>0</v>
      </c>
      <c r="F5" s="148">
        <v>1</v>
      </c>
      <c r="G5" s="148">
        <v>1</v>
      </c>
      <c r="H5" s="93">
        <v>4</v>
      </c>
    </row>
    <row r="6" spans="1:8" ht="12.75">
      <c r="A6" s="94" t="s">
        <v>43</v>
      </c>
      <c r="B6" s="128">
        <v>0</v>
      </c>
      <c r="C6" s="149">
        <v>0</v>
      </c>
      <c r="D6" s="149">
        <v>0</v>
      </c>
      <c r="E6" s="149">
        <v>0</v>
      </c>
      <c r="F6" s="149">
        <v>0</v>
      </c>
      <c r="G6" s="149">
        <v>0</v>
      </c>
      <c r="H6" s="95">
        <v>0</v>
      </c>
    </row>
    <row r="7" spans="1:8" ht="12.75">
      <c r="A7" s="94" t="s">
        <v>45</v>
      </c>
      <c r="B7" s="128">
        <v>1</v>
      </c>
      <c r="C7" s="149">
        <v>2</v>
      </c>
      <c r="D7" s="149">
        <v>4</v>
      </c>
      <c r="E7" s="149">
        <v>2</v>
      </c>
      <c r="F7" s="149">
        <v>4</v>
      </c>
      <c r="G7" s="149">
        <v>2</v>
      </c>
      <c r="H7" s="95">
        <v>15</v>
      </c>
    </row>
    <row r="8" spans="1:8" ht="12.75">
      <c r="A8" s="96" t="s">
        <v>46</v>
      </c>
      <c r="B8" s="129">
        <v>0.7000000000116415</v>
      </c>
      <c r="C8" s="150">
        <v>1.316666666592937</v>
      </c>
      <c r="D8" s="150">
        <v>1.699999999429565</v>
      </c>
      <c r="E8" s="150">
        <v>1.5333333330927417</v>
      </c>
      <c r="F8" s="150">
        <v>2.1833333334652707</v>
      </c>
      <c r="G8" s="150">
        <v>6.466666666790843</v>
      </c>
      <c r="H8" s="97">
        <v>13.899999999382999</v>
      </c>
    </row>
    <row r="12" ht="13.5" thickBot="1"/>
    <row r="13" spans="2:20" ht="12.75">
      <c r="B13" s="99" t="s">
        <v>39</v>
      </c>
      <c r="C13" s="100" t="s">
        <v>47</v>
      </c>
      <c r="D13" s="100" t="s">
        <v>36</v>
      </c>
      <c r="E13" s="100" t="s">
        <v>48</v>
      </c>
      <c r="F13" s="100" t="s">
        <v>49</v>
      </c>
      <c r="G13" s="100" t="s">
        <v>50</v>
      </c>
      <c r="H13" s="100" t="s">
        <v>51</v>
      </c>
      <c r="I13" s="100" t="s">
        <v>52</v>
      </c>
      <c r="J13" s="100" t="s">
        <v>53</v>
      </c>
      <c r="K13" s="100" t="s">
        <v>54</v>
      </c>
      <c r="L13" s="100" t="s">
        <v>55</v>
      </c>
      <c r="M13" s="100" t="s">
        <v>56</v>
      </c>
      <c r="N13" s="100" t="s">
        <v>57</v>
      </c>
      <c r="O13" s="100" t="s">
        <v>58</v>
      </c>
      <c r="P13" s="100" t="s">
        <v>40</v>
      </c>
      <c r="Q13" s="130" t="s">
        <v>66</v>
      </c>
      <c r="R13" s="101" t="s">
        <v>59</v>
      </c>
      <c r="S13" s="101" t="s">
        <v>41</v>
      </c>
      <c r="T13" s="102" t="s">
        <v>60</v>
      </c>
    </row>
    <row r="14" spans="1:20" s="109" customFormat="1" ht="12.75" hidden="1">
      <c r="A14" s="103" t="s">
        <v>62</v>
      </c>
      <c r="B14" s="106">
        <f>GETPIVOTDATA("Sum of System
Length",$A$3,"Group","RF")</f>
        <v>1.699999999429565</v>
      </c>
      <c r="C14" s="106">
        <f>GETPIVOTDATA("Sum of System
Length",$A$3,"Group","DIA")</f>
        <v>2.1833333334652707</v>
      </c>
      <c r="D14" s="106">
        <f>GETPIVOTDATA("Sum of System
Length",$A$3,"Group","PS")</f>
        <v>1.316666666592937</v>
      </c>
      <c r="E14" s="106">
        <f>GETPIVOTDATA("Sum of System
Length",$A$3,"Group","CTL")</f>
        <v>0.7000000000116415</v>
      </c>
      <c r="F14" s="106"/>
      <c r="G14" s="106"/>
      <c r="H14" s="106"/>
      <c r="I14" s="106">
        <f>GETPIVOTDATA("Sum of System
Length",$A$3,"Group","MOM")</f>
        <v>1.5333333330927417</v>
      </c>
      <c r="J14" s="106">
        <f>GETPIVOTDATA("Sum of System
Length",$A$3,"Group","OA")</f>
        <v>6.466666666790843</v>
      </c>
      <c r="K14" s="106"/>
      <c r="L14" s="106"/>
      <c r="M14" s="106"/>
      <c r="N14" s="106"/>
      <c r="O14" s="106"/>
      <c r="P14" s="107"/>
      <c r="Q14" s="107"/>
      <c r="R14" s="107"/>
      <c r="S14" s="107">
        <f>SUM(B14:R14)</f>
        <v>13.899999999382999</v>
      </c>
      <c r="T14" s="108"/>
    </row>
    <row r="15" spans="1:20" s="109" customFormat="1" ht="12.75">
      <c r="A15" s="103" t="s">
        <v>69</v>
      </c>
      <c r="B15" s="111">
        <f>IF(B14,SUM(B14/B24),"")</f>
        <v>0.001077996194945864</v>
      </c>
      <c r="C15" s="111">
        <f>IF(C14,SUM(C14/B24),"")</f>
        <v>0.001384485309743406</v>
      </c>
      <c r="D15" s="111">
        <f>IF(D14,SUM(D14/B24),"")</f>
        <v>0.0008349186218091221</v>
      </c>
      <c r="E15" s="111">
        <f>IF(E14,SUM(E14/B24),"")</f>
        <v>0.0004438807863105056</v>
      </c>
      <c r="F15" s="111">
        <f>IF(F14,SUM(F14/B24),"")</f>
      </c>
      <c r="G15" s="111">
        <f>IF(G14,SUM(G14/B24),0)</f>
        <v>0</v>
      </c>
      <c r="H15" s="111">
        <f>IF(H14,SUM(H14/B24),"")</f>
      </c>
      <c r="I15" s="111">
        <f>IF(I14,SUM(I14/B24),"")</f>
        <v>0.0009723102936542792</v>
      </c>
      <c r="J15" s="111">
        <f>IF(J14,SUM(J14/B24),"")</f>
        <v>0.004100612978307598</v>
      </c>
      <c r="K15" s="111">
        <f>IF(K14,SUM(K14/B24),"")</f>
      </c>
      <c r="L15" s="111">
        <f>IF(L14,SUM(L14/B24),"")</f>
      </c>
      <c r="M15" s="111">
        <f>IF(M14,SUM(M14/B24),"")</f>
      </c>
      <c r="N15" s="111">
        <f>IF(N14,SUM(N14/B24),"")</f>
      </c>
      <c r="O15" s="111">
        <f>IF(O14,SUM(O14/B24),"")</f>
      </c>
      <c r="P15" s="111">
        <f>IF(P14,SUM(P14/B24),"")</f>
      </c>
      <c r="Q15" s="111">
        <f>IF(Q14,SUM(Q14/B24),"")</f>
      </c>
      <c r="R15" s="111">
        <f>IF(R14,SUM(R14/B24),"")</f>
      </c>
      <c r="S15" s="111">
        <f>IF(S14,SUM(S14/B24),"")</f>
        <v>0.008814204184770774</v>
      </c>
      <c r="T15" s="106">
        <f>IF(T14,SUM(T14/M13),"")</f>
      </c>
    </row>
    <row r="16" spans="1:20" ht="12.75">
      <c r="A16" s="103" t="s">
        <v>61</v>
      </c>
      <c r="B16" s="104">
        <f>'[1]reliabilitySummary'!$B$7</f>
        <v>0.005399999999999999</v>
      </c>
      <c r="C16" s="104">
        <f>'[1]reliabilitySummary'!$B$8</f>
        <v>0.0012</v>
      </c>
      <c r="D16" s="104">
        <f>'[1]reliabilitySummary'!$B$9</f>
        <v>0.005399999999999999</v>
      </c>
      <c r="E16" s="104">
        <f>'[1]reliabilitySummary'!$B$10</f>
        <v>0.003</v>
      </c>
      <c r="F16" s="104">
        <f>'[1]reliabilitySummary'!$B$13</f>
        <v>0.0006</v>
      </c>
      <c r="G16" s="104">
        <f>'[1]reliabilitySummary'!$B$14</f>
        <v>0.0006</v>
      </c>
      <c r="H16" s="104">
        <f>'[1]reliabilitySummary'!$B$15</f>
        <v>0.0006</v>
      </c>
      <c r="I16" s="104">
        <f>'[1]reliabilitySummary'!$B$16</f>
        <v>0.0036</v>
      </c>
      <c r="J16" s="104">
        <f>'[1]reliabilitySummary'!$B$18</f>
        <v>0.0012</v>
      </c>
      <c r="K16" s="104">
        <f>'[1]reliabilitySummary'!$B$19</f>
        <v>0</v>
      </c>
      <c r="L16" s="104">
        <f>'[1]reliabilitySummary'!$B$20</f>
        <v>0.0006</v>
      </c>
      <c r="M16" s="104">
        <f>'[1]reliabilitySummary'!$B$24</f>
        <v>0.0006</v>
      </c>
      <c r="N16" s="104">
        <f>'[1]reliabilitySummary'!$B$25</f>
        <v>0.0018</v>
      </c>
      <c r="O16" s="104">
        <f>'[1]reliabilitySummary'!$B$26</f>
        <v>0.0006</v>
      </c>
      <c r="P16" s="104">
        <f>'[1]reliabilitySummary'!$B$27</f>
        <v>0.0018</v>
      </c>
      <c r="Q16" s="104">
        <f>'[1]reliabilitySummary'!$B$11</f>
        <v>0.0012</v>
      </c>
      <c r="R16" s="104">
        <f>'[1]reliabilitySummary'!$B$28</f>
        <v>0.0006</v>
      </c>
      <c r="S16" s="104">
        <v>0.03</v>
      </c>
      <c r="T16" s="105"/>
    </row>
    <row r="18" spans="1:19" ht="13.5" thickBot="1">
      <c r="A18" s="112" t="s">
        <v>63</v>
      </c>
      <c r="B18">
        <f>GETPIVOTDATA("Sum of Store Lost",$A$3,"Group","RF")</f>
        <v>4</v>
      </c>
      <c r="C18">
        <f>GETPIVOTDATA("Sum of Store Lost",$A$3,"Group","DIA")</f>
        <v>4</v>
      </c>
      <c r="D18">
        <f>GETPIVOTDATA("Sum of Store Lost",$A$3,"Group","PS")</f>
        <v>2</v>
      </c>
      <c r="E18">
        <f>GETPIVOTDATA("Sum of Store Lost",$A$3,"Group","CTL")</f>
        <v>1</v>
      </c>
      <c r="I18">
        <f>GETPIVOTDATA("Sum of Store Lost",$A$3,"Group","MOM")</f>
        <v>2</v>
      </c>
      <c r="J18">
        <f>GETPIVOTDATA("Sum of Store Lost",$A$3,"Group","OA")</f>
        <v>2</v>
      </c>
      <c r="S18" s="107">
        <f>SUM(B18:R18)</f>
        <v>15</v>
      </c>
    </row>
    <row r="19" spans="2:19" ht="12.75">
      <c r="B19" s="99" t="s">
        <v>39</v>
      </c>
      <c r="C19" s="100" t="s">
        <v>47</v>
      </c>
      <c r="D19" s="100" t="s">
        <v>36</v>
      </c>
      <c r="E19" s="100" t="s">
        <v>48</v>
      </c>
      <c r="F19" s="100" t="s">
        <v>49</v>
      </c>
      <c r="G19" s="100" t="s">
        <v>50</v>
      </c>
      <c r="H19" s="100" t="s">
        <v>51</v>
      </c>
      <c r="I19" s="100" t="s">
        <v>64</v>
      </c>
      <c r="J19" s="100" t="s">
        <v>53</v>
      </c>
      <c r="K19" s="100" t="s">
        <v>54</v>
      </c>
      <c r="L19" s="100" t="s">
        <v>55</v>
      </c>
      <c r="M19" s="100" t="s">
        <v>56</v>
      </c>
      <c r="N19" s="100" t="s">
        <v>57</v>
      </c>
      <c r="O19" s="100" t="s">
        <v>58</v>
      </c>
      <c r="P19" s="100" t="s">
        <v>40</v>
      </c>
      <c r="Q19" s="130" t="s">
        <v>66</v>
      </c>
      <c r="R19" s="101" t="s">
        <v>59</v>
      </c>
      <c r="S19" s="107"/>
    </row>
    <row r="20" spans="1:19" ht="12.75">
      <c r="A20" s="103" t="s">
        <v>69</v>
      </c>
      <c r="B20" s="115">
        <f aca="true" t="shared" si="0" ref="B20:K20">B18/($B23/24)</f>
        <v>0.06141641609619709</v>
      </c>
      <c r="C20" s="115">
        <f t="shared" si="0"/>
        <v>0.06141641609619709</v>
      </c>
      <c r="D20" s="115">
        <f t="shared" si="0"/>
        <v>0.030708208048098547</v>
      </c>
      <c r="E20" s="115">
        <f t="shared" si="0"/>
        <v>0.015354104024049273</v>
      </c>
      <c r="F20" s="115">
        <f t="shared" si="0"/>
        <v>0</v>
      </c>
      <c r="G20" s="115">
        <f t="shared" si="0"/>
        <v>0</v>
      </c>
      <c r="H20" s="115">
        <f t="shared" si="0"/>
        <v>0</v>
      </c>
      <c r="I20" s="115"/>
      <c r="J20" s="119">
        <f t="shared" si="0"/>
        <v>0.030708208048098547</v>
      </c>
      <c r="K20" s="119">
        <f t="shared" si="0"/>
        <v>0</v>
      </c>
      <c r="L20" s="115">
        <f>L18/($B23/24)</f>
        <v>0</v>
      </c>
      <c r="M20" s="119"/>
      <c r="N20" s="115">
        <f>N18/($B23/24)</f>
        <v>0</v>
      </c>
      <c r="O20" s="116"/>
      <c r="P20" s="116"/>
      <c r="Q20" s="115">
        <f>Q18/($B23/24)</f>
        <v>0</v>
      </c>
      <c r="R20" s="115">
        <f>R18/($B23/24)</f>
        <v>0</v>
      </c>
      <c r="S20" s="115">
        <f>S18/($B23/24)</f>
        <v>0.2303115603607391</v>
      </c>
    </row>
    <row r="21" spans="1:20" ht="12.75">
      <c r="A21" s="113" t="s">
        <v>61</v>
      </c>
      <c r="B21" s="114">
        <f>'[1]reliabilitySummary'!$F$7</f>
        <v>0.12</v>
      </c>
      <c r="C21" s="114">
        <f>'[1]reliabilitySummary'!$F$8</f>
        <v>0.03</v>
      </c>
      <c r="D21" s="114">
        <f>'[1]reliabilitySummary'!$F$9</f>
        <v>0.12</v>
      </c>
      <c r="E21" s="114">
        <v>0.05</v>
      </c>
      <c r="F21" s="114">
        <v>0.01</v>
      </c>
      <c r="G21" s="114">
        <v>0.01</v>
      </c>
      <c r="H21" s="114">
        <v>0.02</v>
      </c>
      <c r="I21" s="114">
        <v>0.06</v>
      </c>
      <c r="J21" s="114">
        <v>0.02</v>
      </c>
      <c r="K21" s="110">
        <v>0</v>
      </c>
      <c r="L21" s="110">
        <v>0.01</v>
      </c>
      <c r="M21" s="110">
        <v>0.01</v>
      </c>
      <c r="N21" s="110">
        <v>0.01</v>
      </c>
      <c r="O21" s="110">
        <v>0.01</v>
      </c>
      <c r="P21" s="110">
        <v>0.02</v>
      </c>
      <c r="Q21" s="110">
        <v>0.01</v>
      </c>
      <c r="R21" s="110">
        <v>0.02</v>
      </c>
      <c r="S21" s="110">
        <f>SUM(B21:R21)</f>
        <v>0.5300000000000001</v>
      </c>
      <c r="T21" s="98"/>
    </row>
    <row r="23" spans="1:2" ht="12.75">
      <c r="A23" s="12" t="s">
        <v>11</v>
      </c>
      <c r="B23" s="109">
        <f>'Main Data'!D55</f>
        <v>1563.1000000005588</v>
      </c>
    </row>
    <row r="24" spans="1:2" ht="12.75">
      <c r="A24" s="117" t="s">
        <v>13</v>
      </c>
      <c r="B24" s="110">
        <f>'Main Data'!D57</f>
        <v>1576.9999999999418</v>
      </c>
    </row>
    <row r="28" ht="12.75">
      <c r="A28" s="9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21" max="21" width="37.421875" style="0" customWidth="1"/>
  </cols>
  <sheetData/>
  <printOptions/>
  <pageMargins left="0.75" right="0.75" top="1" bottom="1" header="0.5" footer="0.5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60" zoomScaleNormal="6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 Gerig</Manager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</cp:lastModifiedBy>
  <cp:lastPrinted>2007-10-18T18:18:14Z</cp:lastPrinted>
  <dcterms:created xsi:type="dcterms:W3CDTF">1998-01-15T00:06:45Z</dcterms:created>
  <dcterms:modified xsi:type="dcterms:W3CDTF">2007-12-21T18:24:00Z</dcterms:modified>
  <cp:category>Downtime</cp:category>
  <cp:version/>
  <cp:contentType/>
  <cp:contentStatus/>
</cp:coreProperties>
</file>