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" yWindow="65251" windowWidth="28620" windowHeight="13425" tabRatio="927" activeTab="3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Data'!$A$2:$P$50</definedName>
    <definedName name="Excel_BuiltIn_Print_Area_1_1_1">'Main Data'!$A$2:$P$72</definedName>
    <definedName name="Excel_BuiltIn_Print_Area_1_1_11">'Main Data'!$A$2:$P$73</definedName>
    <definedName name="Excel_BuiltIn_Print_Area_1_1_1_1">'Main Data'!$A$2:$P$59</definedName>
    <definedName name="Excel_BuiltIn_Print_Area_41">'Faults Per Day'!$A$1:$W$67</definedName>
    <definedName name="Faults_Day_of_Delivered_Beam">'Main Data'!$D$101</definedName>
    <definedName name="Mean_Time_Between_Faults">'Main Data'!$D$100</definedName>
    <definedName name="Number_of_Fills">'Main Data'!$D$93</definedName>
    <definedName name="Number_of_Intentional_Dumps">'Main Data'!$D$92</definedName>
    <definedName name="Number_of_Lost_Fills">'Main Data'!$D$91</definedName>
    <definedName name="_xlnm.Print_Area" localSheetId="3">'Faults Per Day'!$A$1:$AC$81</definedName>
    <definedName name="_xlnm.Print_Area" localSheetId="0">'Main Data'!$A$2:$P$59</definedName>
    <definedName name="_xlnm.Print_Titles" localSheetId="0">'Main Data'!$5:$5</definedName>
    <definedName name="Refill_Time">'Main Data'!$D$1</definedName>
    <definedName name="Total_Schedule_Run_Length">'Main Data'!$D$97</definedName>
    <definedName name="Total_System_Downtime">'Main Data'!$K$93</definedName>
    <definedName name="Total_User_Beam">'Main Data'!$D$95</definedName>
    <definedName name="Total_User_Downtime">'Main Data'!$D$96</definedName>
    <definedName name="User_Beam_Days">'Main Data'!$E$95</definedName>
    <definedName name="X_ray_Availability">'Main Data'!$D$102</definedName>
  </definedNames>
  <calcPr fullCalcOnLoad="1"/>
  <pivotCaches>
    <pivotCache cacheId="13" r:id="rId5"/>
    <pivotCache cacheId="12" r:id="rId6"/>
  </pivotCaches>
</workbook>
</file>

<file path=xl/sharedStrings.xml><?xml version="1.0" encoding="utf-8"?>
<sst xmlns="http://schemas.openxmlformats.org/spreadsheetml/2006/main" count="206" uniqueCount="91">
  <si>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</si>
  <si>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</si>
  <si>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</si>
  <si>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</si>
  <si>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</si>
  <si>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</si>
  <si>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</si>
  <si>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</si>
  <si>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</si>
  <si>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</si>
  <si>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</si>
  <si>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</si>
  <si>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</si>
  <si>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</si>
  <si>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</si>
  <si>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</si>
  <si>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</si>
  <si>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</si>
  <si>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</si>
  <si>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</si>
  <si>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</si>
  <si>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</si>
  <si>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</si>
  <si>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</si>
  <si>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</si>
  <si>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</si>
  <si>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</si>
  <si>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</si>
  <si>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</si>
  <si>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</si>
  <si>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</si>
  <si>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</si>
  <si>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</si>
  <si>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</si>
  <si>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</si>
  <si>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</si>
  <si>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</si>
  <si>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</si>
  <si>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</si>
  <si>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</si>
  <si>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</si>
  <si>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</si>
  <si>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</si>
  <si>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</si>
  <si>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</si>
  <si>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</si>
  <si>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</si>
  <si>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</si>
  <si>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</si>
  <si>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</si>
  <si>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</si>
  <si>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</si>
  <si>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</si>
  <si>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</si>
  <si>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</si>
  <si>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</si>
  <si>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</si>
  <si>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</si>
  <si>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</si>
  <si>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</si>
  <si>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</si>
  <si>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</si>
  <si>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</si>
  <si>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</si>
  <si>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</si>
  <si>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</si>
  <si>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AOP</t>
  </si>
  <si>
    <t>Inhibits beam to user</t>
  </si>
  <si>
    <t>FMS</t>
  </si>
  <si>
    <t>OTH</t>
  </si>
  <si>
    <t>UNK</t>
  </si>
  <si>
    <t>SR Vac Valve Closed</t>
  </si>
  <si>
    <t>CTL</t>
  </si>
  <si>
    <t xml:space="preserve">Int Dump: End of Period </t>
  </si>
  <si>
    <t>IOCRF3HVPS reboot</t>
  </si>
  <si>
    <t>SI</t>
  </si>
  <si>
    <t>Int Dumped</t>
  </si>
  <si>
    <t>Bad bunch purity</t>
  </si>
  <si>
    <t>Downtime for Run 2013-1</t>
  </si>
  <si>
    <t>UPS Bypass Failed [SO]</t>
  </si>
  <si>
    <t>SO</t>
  </si>
  <si>
    <t>Inhibits Beam to User</t>
  </si>
  <si>
    <t xml:space="preserve">RF2 Crowbar [RF]         </t>
  </si>
  <si>
    <t xml:space="preserve">RF2 unstable [RF]        </t>
  </si>
  <si>
    <t xml:space="preserve">RF2 unstable [OTH]        </t>
  </si>
  <si>
    <t>20ID PSS trip [SI]</t>
  </si>
  <si>
    <t>S29A:S2 tripped [PS]</t>
  </si>
  <si>
    <t>23ID PSS trip [SI]</t>
  </si>
  <si>
    <t>DIA</t>
  </si>
  <si>
    <t>10BM PSS trip [OTH]</t>
  </si>
  <si>
    <t>Run 2013-1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</si>
</sst>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4.5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Border="1" applyAlignment="1">
      <alignment wrapText="1"/>
    </xf>
    <xf numFmtId="2" fontId="0" fillId="0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0" fillId="0" borderId="19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wrapText="1"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 wrapText="1"/>
    </xf>
    <xf numFmtId="2" fontId="0" fillId="33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wrapText="1"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164" fontId="0" fillId="0" borderId="30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1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164" fontId="0" fillId="0" borderId="19" xfId="0" applyNumberFormat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0" fillId="0" borderId="28" xfId="0" applyNumberFormat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left"/>
    </xf>
    <xf numFmtId="2" fontId="0" fillId="37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right"/>
    </xf>
    <xf numFmtId="0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2" fontId="0" fillId="0" borderId="27" xfId="0" applyNumberFormat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32" xfId="0" applyNumberFormat="1" applyBorder="1" applyAlignment="1">
      <alignment/>
    </xf>
    <xf numFmtId="164" fontId="0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64" fontId="0" fillId="40" borderId="19" xfId="0" applyNumberFormat="1" applyFont="1" applyFill="1" applyBorder="1" applyAlignment="1">
      <alignment wrapText="1"/>
    </xf>
    <xf numFmtId="166" fontId="0" fillId="32" borderId="19" xfId="0" applyNumberFormat="1" applyFont="1" applyFill="1" applyBorder="1" applyAlignment="1">
      <alignment wrapText="1"/>
    </xf>
    <xf numFmtId="2" fontId="0" fillId="40" borderId="19" xfId="0" applyNumberFormat="1" applyFont="1" applyFill="1" applyBorder="1" applyAlignment="1">
      <alignment horizontal="right"/>
    </xf>
    <xf numFmtId="0" fontId="0" fillId="32" borderId="19" xfId="0" applyNumberFormat="1" applyFont="1" applyFill="1" applyBorder="1" applyAlignment="1" applyProtection="1">
      <alignment/>
      <protection/>
    </xf>
    <xf numFmtId="0" fontId="0" fillId="32" borderId="19" xfId="0" applyNumberFormat="1" applyFont="1" applyFill="1" applyBorder="1" applyAlignment="1" applyProtection="1">
      <alignment/>
      <protection locked="0"/>
    </xf>
    <xf numFmtId="0" fontId="0" fillId="32" borderId="19" xfId="0" applyNumberFormat="1" applyFont="1" applyFill="1" applyBorder="1" applyAlignment="1" applyProtection="1">
      <alignment horizontal="left"/>
      <protection/>
    </xf>
    <xf numFmtId="164" fontId="0" fillId="32" borderId="30" xfId="0" applyNumberFormat="1" applyFont="1" applyFill="1" applyBorder="1" applyAlignment="1">
      <alignment/>
    </xf>
    <xf numFmtId="166" fontId="0" fillId="41" borderId="19" xfId="0" applyNumberFormat="1" applyFont="1" applyFill="1" applyBorder="1" applyAlignment="1">
      <alignment wrapText="1"/>
    </xf>
    <xf numFmtId="166" fontId="0" fillId="42" borderId="19" xfId="0" applyNumberFormat="1" applyFont="1" applyFill="1" applyBorder="1" applyAlignment="1">
      <alignment wrapText="1"/>
    </xf>
    <xf numFmtId="2" fontId="0" fillId="42" borderId="19" xfId="0" applyNumberFormat="1" applyFont="1" applyFill="1" applyBorder="1" applyAlignment="1">
      <alignment horizontal="right"/>
    </xf>
    <xf numFmtId="0" fontId="0" fillId="41" borderId="19" xfId="0" applyNumberFormat="1" applyFont="1" applyFill="1" applyBorder="1" applyAlignment="1" applyProtection="1">
      <alignment/>
      <protection/>
    </xf>
    <xf numFmtId="0" fontId="0" fillId="41" borderId="19" xfId="0" applyNumberFormat="1" applyFont="1" applyFill="1" applyBorder="1" applyAlignment="1" applyProtection="1">
      <alignment/>
      <protection locked="0"/>
    </xf>
    <xf numFmtId="0" fontId="0" fillId="41" borderId="19" xfId="0" applyNumberFormat="1" applyFont="1" applyFill="1" applyBorder="1" applyAlignment="1" applyProtection="1">
      <alignment horizontal="left"/>
      <protection/>
    </xf>
    <xf numFmtId="164" fontId="0" fillId="41" borderId="30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 wrapText="1"/>
    </xf>
    <xf numFmtId="164" fontId="0" fillId="32" borderId="19" xfId="0" applyNumberFormat="1" applyFont="1" applyFill="1" applyBorder="1" applyAlignment="1">
      <alignment wrapText="1"/>
    </xf>
    <xf numFmtId="2" fontId="0" fillId="32" borderId="19" xfId="0" applyNumberFormat="1" applyFont="1" applyFill="1" applyBorder="1" applyAlignment="1">
      <alignment horizontal="right"/>
    </xf>
    <xf numFmtId="0" fontId="0" fillId="43" borderId="0" xfId="0" applyNumberFormat="1" applyFont="1" applyFill="1" applyBorder="1" applyAlignment="1">
      <alignment/>
    </xf>
    <xf numFmtId="164" fontId="0" fillId="44" borderId="19" xfId="0" applyNumberFormat="1" applyFont="1" applyFill="1" applyBorder="1" applyAlignment="1">
      <alignment wrapText="1"/>
    </xf>
    <xf numFmtId="166" fontId="0" fillId="44" borderId="19" xfId="0" applyNumberFormat="1" applyFont="1" applyFill="1" applyBorder="1" applyAlignment="1">
      <alignment wrapText="1"/>
    </xf>
    <xf numFmtId="2" fontId="0" fillId="44" borderId="19" xfId="0" applyNumberFormat="1" applyFont="1" applyFill="1" applyBorder="1" applyAlignment="1">
      <alignment horizontal="right"/>
    </xf>
    <xf numFmtId="0" fontId="0" fillId="45" borderId="19" xfId="0" applyNumberFormat="1" applyFont="1" applyFill="1" applyBorder="1" applyAlignment="1" applyProtection="1">
      <alignment/>
      <protection/>
    </xf>
    <xf numFmtId="0" fontId="0" fillId="45" borderId="19" xfId="0" applyNumberFormat="1" applyFont="1" applyFill="1" applyBorder="1" applyAlignment="1" applyProtection="1">
      <alignment/>
      <protection locked="0"/>
    </xf>
    <xf numFmtId="0" fontId="0" fillId="45" borderId="19" xfId="0" applyNumberFormat="1" applyFont="1" applyFill="1" applyBorder="1" applyAlignment="1" applyProtection="1">
      <alignment horizontal="left"/>
      <protection/>
    </xf>
    <xf numFmtId="164" fontId="0" fillId="44" borderId="30" xfId="0" applyNumberFormat="1" applyFont="1" applyFill="1" applyBorder="1" applyAlignment="1">
      <alignment/>
    </xf>
    <xf numFmtId="0" fontId="0" fillId="44" borderId="19" xfId="0" applyNumberFormat="1" applyFont="1" applyFill="1" applyBorder="1" applyAlignment="1" applyProtection="1">
      <alignment/>
      <protection/>
    </xf>
    <xf numFmtId="0" fontId="0" fillId="44" borderId="19" xfId="0" applyNumberFormat="1" applyFont="1" applyFill="1" applyBorder="1" applyAlignment="1" applyProtection="1">
      <alignment/>
      <protection locked="0"/>
    </xf>
    <xf numFmtId="0" fontId="0" fillId="44" borderId="19" xfId="0" applyNumberFormat="1" applyFont="1" applyFill="1" applyBorder="1" applyAlignment="1" applyProtection="1">
      <alignment horizontal="left"/>
      <protection/>
    </xf>
    <xf numFmtId="2" fontId="0" fillId="41" borderId="3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2013-1 Downtime by System 
January 29 - April 25, 2013
 Scheduled User Time =  1727 hours     
User downtime= 19.4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54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2013-1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0.0030689056165684628</c:v>
                </c:pt>
                <c:pt idx="1">
                  <c:v>0</c:v>
                </c:pt>
                <c:pt idx="2">
                  <c:v>0.0007817023740792847</c:v>
                </c:pt>
                <c:pt idx="3">
                  <c:v>0.0019494306119363788</c:v>
                </c:pt>
                <c:pt idx="4">
                  <c:v>0</c:v>
                </c:pt>
                <c:pt idx="5">
                  <c:v>0.0008589075468752919</c:v>
                </c:pt>
                <c:pt idx="6">
                  <c:v>0</c:v>
                </c:pt>
                <c:pt idx="7">
                  <c:v>0</c:v>
                </c:pt>
                <c:pt idx="8">
                  <c:v>0.000791353020704064</c:v>
                </c:pt>
                <c:pt idx="9">
                  <c:v>0</c:v>
                </c:pt>
                <c:pt idx="10">
                  <c:v>0</c:v>
                </c:pt>
                <c:pt idx="11">
                  <c:v>0.0022196487165201772</c:v>
                </c:pt>
                <c:pt idx="12">
                  <c:v>0</c:v>
                </c:pt>
                <c:pt idx="13">
                  <c:v>0</c:v>
                </c:pt>
                <c:pt idx="14">
                  <c:v>0.0015634047481585694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6632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2013-1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2013-1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0.028109627547441132</c:v>
                </c:pt>
                <c:pt idx="1">
                  <c:v>0</c:v>
                </c:pt>
                <c:pt idx="2">
                  <c:v>0.014054813773720566</c:v>
                </c:pt>
                <c:pt idx="3">
                  <c:v>0.028109627547441132</c:v>
                </c:pt>
                <c:pt idx="4">
                  <c:v>0</c:v>
                </c:pt>
                <c:pt idx="5">
                  <c:v>0.028109627547441132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0.028109627547441132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451"/>
        <c:crossesAt val="0"/>
        <c:auto val="1"/>
        <c:lblOffset val="100"/>
        <c:tickLblSkip val="1"/>
        <c:noMultiLvlLbl val="0"/>
      </c:catAx>
      <c:valAx>
        <c:axId val="2866451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91</xdr:row>
      <xdr:rowOff>76200</xdr:rowOff>
    </xdr:from>
    <xdr:to>
      <xdr:col>11</xdr:col>
      <xdr:colOff>85725</xdr:colOff>
      <xdr:row>92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5754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85725</xdr:rowOff>
    </xdr:from>
    <xdr:to>
      <xdr:col>11</xdr:col>
      <xdr:colOff>85725</xdr:colOff>
      <xdr:row>49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801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1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SemiMixedTypes="0" containsString="0" containsMixedTypes="0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SemiMixedTypes="0" containsString="0" containsMixedTypes="0" containsNumber="1"/>
    </cacheField>
    <cacheField name="System&#10;Length">
      <sharedItems containsSemiMixedTypes="0" containsString="0" containsMixedTypes="0" containsNumber="1"/>
    </cacheField>
    <cacheField name="Cause">
      <sharedItems containsBlank="1" containsMixedTypes="0" count="7">
        <m/>
        <s v="RF"/>
        <s v="AOP"/>
        <s v="FMS"/>
        <s v="PS"/>
        <s v="OTH"/>
        <s v="UNK"/>
      </sharedItems>
    </cacheField>
    <cacheField name="System">
      <sharedItems containsMixedTypes="0"/>
    </cacheField>
    <cacheField name="Group">
      <sharedItems containsBlank="1" containsMixedTypes="0" count="7">
        <m/>
        <s v="RF"/>
        <s v="AOP"/>
        <s v="FMS"/>
        <s v="PS"/>
        <s v="OTH"/>
        <s v="UNK"/>
      </sharedItems>
    </cacheField>
    <cacheField name="Type">
      <sharedItems containsBlank="1" containsMixedTypes="0" count="4">
        <s v="Scheduled"/>
        <m/>
        <s v="Store Lost"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4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9">
        <s v="CTL"/>
        <m/>
        <s v="AOP"/>
        <s v="SI"/>
        <s v="SO"/>
        <s v="RF"/>
        <s v="OTH"/>
        <s v="PS"/>
        <s v="UNK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h="1" x="1"/>
        <item x="7"/>
        <item x="5"/>
        <item x="2"/>
        <item x="6"/>
        <item m="1" x="8"/>
        <item x="0"/>
        <item x="3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8"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I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4"/>
        <item x="1"/>
        <item x="2"/>
        <item x="6"/>
        <item x="3"/>
        <item x="5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E41" sqref="E41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7" t="s">
        <v>78</v>
      </c>
      <c r="B2" s="197"/>
      <c r="C2" s="197"/>
      <c r="D2" s="197"/>
      <c r="E2" s="197"/>
      <c r="F2" s="197"/>
      <c r="G2" s="197"/>
      <c r="H2" s="197"/>
      <c r="I2" s="197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26" t="s">
        <v>3</v>
      </c>
      <c r="B5" s="127" t="s">
        <v>4</v>
      </c>
      <c r="C5" s="127" t="s">
        <v>5</v>
      </c>
      <c r="D5" s="128" t="s">
        <v>6</v>
      </c>
      <c r="E5" s="129" t="s">
        <v>7</v>
      </c>
      <c r="F5" s="126" t="s">
        <v>8</v>
      </c>
      <c r="G5" s="130" t="s">
        <v>9</v>
      </c>
      <c r="H5" s="127" t="s">
        <v>4</v>
      </c>
      <c r="I5" s="127" t="s">
        <v>5</v>
      </c>
      <c r="J5" s="131" t="s">
        <v>10</v>
      </c>
      <c r="K5" s="132" t="s">
        <v>11</v>
      </c>
      <c r="L5" s="133" t="s">
        <v>12</v>
      </c>
      <c r="M5" s="134" t="s">
        <v>13</v>
      </c>
      <c r="N5" s="134" t="s">
        <v>14</v>
      </c>
      <c r="O5" s="133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34" customFormat="1" ht="12.75">
      <c r="A6" s="95">
        <v>1</v>
      </c>
      <c r="B6" s="96">
        <v>41303.333333333336</v>
      </c>
      <c r="C6" s="96">
        <v>41306.5125</v>
      </c>
      <c r="D6" s="97">
        <f>(C6-B6)*24</f>
        <v>76.29999999987194</v>
      </c>
      <c r="E6" s="147" t="s">
        <v>71</v>
      </c>
      <c r="F6" s="98">
        <v>105965</v>
      </c>
      <c r="G6" s="99"/>
      <c r="H6" s="96">
        <v>41306.5125</v>
      </c>
      <c r="I6" s="100">
        <v>41306.631944444445</v>
      </c>
      <c r="J6" s="97">
        <f>(I6-H6)*24</f>
        <v>2.8666666667559184</v>
      </c>
      <c r="K6" s="97">
        <f>(I6-H6)*24</f>
        <v>2.8666666667559184</v>
      </c>
      <c r="L6" s="101" t="s">
        <v>72</v>
      </c>
      <c r="M6" s="102" t="s">
        <v>72</v>
      </c>
      <c r="N6" s="102" t="s">
        <v>72</v>
      </c>
      <c r="O6" s="103" t="s">
        <v>17</v>
      </c>
      <c r="P6" s="125"/>
      <c r="Q6" s="35">
        <f aca="true" t="shared" si="0" ref="Q6:Q46">IF($O6="Store Lost",1,"")</f>
        <v>1</v>
      </c>
      <c r="R6" s="35">
        <f aca="true" t="shared" si="1" ref="R6:R46">IF($O6="Scheduled",1,"")</f>
      </c>
      <c r="S6" s="35">
        <f aca="true" t="shared" si="2" ref="S6:S46">IF($O6="Inhibits beam to user",1,"")</f>
      </c>
      <c r="T6" s="36">
        <f aca="true" t="shared" si="3" ref="T6:T14">SUM(Q6:S6)</f>
        <v>1</v>
      </c>
      <c r="U6" s="30"/>
      <c r="V6" s="30"/>
      <c r="W6" s="30"/>
    </row>
    <row r="7" spans="1:23" s="34" customFormat="1" ht="12.75">
      <c r="A7" s="85">
        <v>2</v>
      </c>
      <c r="B7" s="86">
        <v>41306.631944444445</v>
      </c>
      <c r="C7" s="146">
        <v>41310.333333333336</v>
      </c>
      <c r="D7" s="87">
        <f>(C7-B7)*24</f>
        <v>88.83333333337214</v>
      </c>
      <c r="E7" s="88" t="s">
        <v>73</v>
      </c>
      <c r="F7" s="89"/>
      <c r="G7" s="90"/>
      <c r="H7" s="146"/>
      <c r="I7" s="91"/>
      <c r="J7" s="87">
        <f>(I7-H7)*24</f>
        <v>0</v>
      </c>
      <c r="K7" s="87">
        <f>(I7-H7)*24</f>
        <v>0</v>
      </c>
      <c r="L7" s="92"/>
      <c r="M7" s="93"/>
      <c r="N7" s="93"/>
      <c r="O7" s="94" t="s">
        <v>21</v>
      </c>
      <c r="P7" s="124"/>
      <c r="Q7" s="35">
        <f t="shared" si="0"/>
      </c>
      <c r="R7" s="35">
        <f t="shared" si="1"/>
        <v>1</v>
      </c>
      <c r="S7" s="35">
        <f t="shared" si="2"/>
      </c>
      <c r="T7" s="36">
        <f t="shared" si="3"/>
        <v>1</v>
      </c>
      <c r="U7" s="30"/>
      <c r="V7" s="30"/>
      <c r="W7" s="30"/>
    </row>
    <row r="8" spans="1:23" s="34" customFormat="1" ht="12.75">
      <c r="A8" s="135"/>
      <c r="B8" s="136"/>
      <c r="C8" s="136"/>
      <c r="D8" s="137">
        <f>SUM(D6:D7)</f>
        <v>165.13333333324408</v>
      </c>
      <c r="E8" s="138"/>
      <c r="F8" s="139"/>
      <c r="G8" s="140"/>
      <c r="H8" s="141"/>
      <c r="I8" s="141"/>
      <c r="J8" s="142">
        <f>SUM(J6:J7)</f>
        <v>2.8666666667559184</v>
      </c>
      <c r="K8" s="142">
        <f>SUM(K6:K7)</f>
        <v>2.8666666667559184</v>
      </c>
      <c r="L8" s="143"/>
      <c r="M8" s="144"/>
      <c r="N8" s="144"/>
      <c r="O8" s="145"/>
      <c r="P8" s="84"/>
      <c r="Q8" s="35">
        <f t="shared" si="0"/>
      </c>
      <c r="R8" s="35">
        <f t="shared" si="1"/>
      </c>
      <c r="S8" s="35">
        <f t="shared" si="2"/>
      </c>
      <c r="T8" s="36">
        <f t="shared" si="3"/>
        <v>0</v>
      </c>
      <c r="U8" s="30"/>
      <c r="V8" s="30"/>
      <c r="W8" s="30"/>
    </row>
    <row r="9" spans="1:23" s="34" customFormat="1" ht="12.75">
      <c r="A9" s="85">
        <v>3</v>
      </c>
      <c r="B9" s="86">
        <v>41311.333333333336</v>
      </c>
      <c r="C9" s="146">
        <v>41314.475</v>
      </c>
      <c r="D9" s="87">
        <f>(C9-B9)*24</f>
        <v>75.39999999990687</v>
      </c>
      <c r="E9" s="88" t="s">
        <v>74</v>
      </c>
      <c r="F9" s="89"/>
      <c r="G9" s="90"/>
      <c r="H9" s="146">
        <v>41314.475</v>
      </c>
      <c r="I9" s="91">
        <v>41314.54027777778</v>
      </c>
      <c r="J9" s="87">
        <f>(I9-H9)*24</f>
        <v>1.5666666667093523</v>
      </c>
      <c r="K9" s="87"/>
      <c r="L9" s="92"/>
      <c r="M9" s="93"/>
      <c r="N9" s="93"/>
      <c r="O9" s="94"/>
      <c r="P9" s="124"/>
      <c r="Q9" s="35">
        <f t="shared" si="0"/>
      </c>
      <c r="R9" s="35">
        <f t="shared" si="1"/>
      </c>
      <c r="S9" s="35">
        <f t="shared" si="2"/>
      </c>
      <c r="T9" s="36">
        <f t="shared" si="3"/>
        <v>0</v>
      </c>
      <c r="U9" s="30"/>
      <c r="V9" s="30"/>
      <c r="W9" s="30"/>
    </row>
    <row r="10" spans="1:23" s="34" customFormat="1" ht="12.75">
      <c r="A10" s="85"/>
      <c r="B10" s="166"/>
      <c r="C10" s="166"/>
      <c r="D10" s="87"/>
      <c r="E10" s="167"/>
      <c r="F10" s="89">
        <v>105967</v>
      </c>
      <c r="G10" s="90"/>
      <c r="H10" s="168">
        <v>41314.475</v>
      </c>
      <c r="I10" s="169">
        <v>41314.495833333334</v>
      </c>
      <c r="J10" s="170"/>
      <c r="K10" s="170">
        <f>(I10-H10)*24</f>
        <v>0.5000000000582077</v>
      </c>
      <c r="L10" s="171" t="s">
        <v>72</v>
      </c>
      <c r="M10" s="172" t="s">
        <v>72</v>
      </c>
      <c r="N10" s="172" t="s">
        <v>72</v>
      </c>
      <c r="O10" s="173" t="s">
        <v>17</v>
      </c>
      <c r="P10" s="174"/>
      <c r="Q10" s="35">
        <f t="shared" si="0"/>
        <v>1</v>
      </c>
      <c r="R10" s="35">
        <f t="shared" si="1"/>
      </c>
      <c r="S10" s="35">
        <f t="shared" si="2"/>
      </c>
      <c r="T10" s="36">
        <f t="shared" si="3"/>
        <v>1</v>
      </c>
      <c r="U10" s="30"/>
      <c r="V10" s="30"/>
      <c r="W10" s="30"/>
    </row>
    <row r="11" spans="1:23" s="34" customFormat="1" ht="12.75">
      <c r="A11" s="85"/>
      <c r="B11" s="166"/>
      <c r="C11" s="166"/>
      <c r="D11" s="87"/>
      <c r="E11" s="167"/>
      <c r="F11" s="89">
        <v>105968</v>
      </c>
      <c r="G11" s="90"/>
      <c r="H11" s="175">
        <v>41314.495833333334</v>
      </c>
      <c r="I11" s="176">
        <v>41314.54027777778</v>
      </c>
      <c r="J11" s="177"/>
      <c r="K11" s="177">
        <f>(I11-H11)*24</f>
        <v>1.0666666666511446</v>
      </c>
      <c r="L11" s="178" t="s">
        <v>66</v>
      </c>
      <c r="M11" s="179" t="s">
        <v>66</v>
      </c>
      <c r="N11" s="179" t="s">
        <v>66</v>
      </c>
      <c r="O11" s="180" t="s">
        <v>76</v>
      </c>
      <c r="P11" s="181" t="s">
        <v>77</v>
      </c>
      <c r="Q11" s="35">
        <f t="shared" si="0"/>
      </c>
      <c r="R11" s="35">
        <f>IF($O11="Int Dumped",1,"")</f>
        <v>1</v>
      </c>
      <c r="S11" s="35">
        <f t="shared" si="2"/>
      </c>
      <c r="T11" s="36">
        <f t="shared" si="3"/>
        <v>1</v>
      </c>
      <c r="U11" s="30"/>
      <c r="V11" s="30"/>
      <c r="W11" s="30"/>
    </row>
    <row r="12" spans="1:23" s="34" customFormat="1" ht="12.75">
      <c r="A12" s="35">
        <v>5</v>
      </c>
      <c r="B12" s="96">
        <v>41314.54027777778</v>
      </c>
      <c r="C12" s="96">
        <v>41316.74722222222</v>
      </c>
      <c r="D12" s="97">
        <f>(C12-B12)*24</f>
        <v>52.96666666661622</v>
      </c>
      <c r="E12" s="147" t="s">
        <v>87</v>
      </c>
      <c r="F12" s="98">
        <v>105969</v>
      </c>
      <c r="G12" s="99"/>
      <c r="H12" s="96">
        <v>41316.74722222222</v>
      </c>
      <c r="I12" s="100">
        <v>41316.77847222222</v>
      </c>
      <c r="J12" s="97">
        <f>(I12-H12)*24</f>
        <v>0.75</v>
      </c>
      <c r="K12" s="97">
        <f>(I12-H12)*24</f>
        <v>0.75</v>
      </c>
      <c r="L12" s="35" t="s">
        <v>75</v>
      </c>
      <c r="M12" s="35" t="s">
        <v>75</v>
      </c>
      <c r="N12" s="35" t="s">
        <v>75</v>
      </c>
      <c r="O12" s="35" t="s">
        <v>17</v>
      </c>
      <c r="P12" s="35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34" customFormat="1" ht="12" customHeight="1">
      <c r="A13" s="85">
        <v>6</v>
      </c>
      <c r="B13" s="86">
        <v>41316.77847222222</v>
      </c>
      <c r="C13" s="146">
        <v>41317.333333333336</v>
      </c>
      <c r="D13" s="87">
        <f>(C13-B13)*24</f>
        <v>13.31666666676756</v>
      </c>
      <c r="E13" s="88"/>
      <c r="F13" s="89"/>
      <c r="G13" s="90"/>
      <c r="H13" s="146"/>
      <c r="I13" s="91"/>
      <c r="J13" s="87">
        <f>(I13-H13)*24</f>
        <v>0</v>
      </c>
      <c r="K13" s="87">
        <f>(I13-H13)*24</f>
        <v>0</v>
      </c>
      <c r="L13" s="92"/>
      <c r="M13" s="93"/>
      <c r="N13" s="93"/>
      <c r="O13" s="94" t="s">
        <v>21</v>
      </c>
      <c r="P13" s="124"/>
      <c r="Q13" s="35">
        <f t="shared" si="0"/>
      </c>
      <c r="R13" s="35">
        <f t="shared" si="1"/>
        <v>1</v>
      </c>
      <c r="S13" s="35">
        <f t="shared" si="2"/>
      </c>
      <c r="T13" s="36">
        <f t="shared" si="3"/>
        <v>1</v>
      </c>
      <c r="U13" s="30"/>
      <c r="V13" s="30"/>
      <c r="W13" s="30"/>
    </row>
    <row r="14" spans="1:23" s="34" customFormat="1" ht="12.75">
      <c r="A14" s="135"/>
      <c r="B14" s="136"/>
      <c r="C14" s="136"/>
      <c r="D14" s="137">
        <f>SUM(D9:D13)</f>
        <v>141.68333333329065</v>
      </c>
      <c r="E14" s="138"/>
      <c r="F14" s="139"/>
      <c r="G14" s="140"/>
      <c r="H14" s="141"/>
      <c r="I14" s="141"/>
      <c r="J14" s="142">
        <f>SUM(J9:J13)</f>
        <v>2.3166666667093523</v>
      </c>
      <c r="K14" s="142">
        <f>SUM(K9:K13)</f>
        <v>2.3166666667093523</v>
      </c>
      <c r="L14" s="143"/>
      <c r="M14" s="144"/>
      <c r="N14" s="144"/>
      <c r="O14" s="145"/>
      <c r="P14" s="84"/>
      <c r="Q14" s="35">
        <f t="shared" si="0"/>
      </c>
      <c r="R14" s="35">
        <f t="shared" si="1"/>
      </c>
      <c r="S14" s="35">
        <f t="shared" si="2"/>
      </c>
      <c r="T14" s="36">
        <f t="shared" si="3"/>
        <v>0</v>
      </c>
      <c r="U14" s="30"/>
      <c r="V14" s="30"/>
      <c r="W14" s="30"/>
    </row>
    <row r="15" spans="1:23" s="34" customFormat="1" ht="12.75">
      <c r="A15" s="95">
        <v>7</v>
      </c>
      <c r="B15" s="96">
        <v>41318.333333333336</v>
      </c>
      <c r="C15" s="96">
        <v>41319.33611111111</v>
      </c>
      <c r="D15" s="97">
        <f>(C15-B15)*24</f>
        <v>24.06666666653473</v>
      </c>
      <c r="E15" s="147" t="s">
        <v>79</v>
      </c>
      <c r="F15" s="98">
        <v>105971</v>
      </c>
      <c r="G15" s="99"/>
      <c r="H15" s="96">
        <v>41319.33611111111</v>
      </c>
      <c r="I15" s="100">
        <v>41319.495833333334</v>
      </c>
      <c r="J15" s="97">
        <f>(I15-H15)*24</f>
        <v>3.833333333430346</v>
      </c>
      <c r="K15" s="97">
        <f>(I15-H15)*24</f>
        <v>3.833333333430346</v>
      </c>
      <c r="L15" s="101" t="s">
        <v>80</v>
      </c>
      <c r="M15" s="102" t="s">
        <v>80</v>
      </c>
      <c r="N15" s="102" t="s">
        <v>80</v>
      </c>
      <c r="O15" s="103" t="s">
        <v>17</v>
      </c>
      <c r="P15" s="125"/>
      <c r="Q15" s="35">
        <f t="shared" si="0"/>
        <v>1</v>
      </c>
      <c r="R15" s="35">
        <f t="shared" si="1"/>
      </c>
      <c r="S15" s="35">
        <f t="shared" si="2"/>
      </c>
      <c r="T15" s="36">
        <f aca="true" t="shared" si="4" ref="T15:T24">SUM(Q15:S15)</f>
        <v>1</v>
      </c>
      <c r="U15" s="30"/>
      <c r="V15" s="30"/>
      <c r="W15" s="30"/>
    </row>
    <row r="16" spans="1:23" s="34" customFormat="1" ht="12.75">
      <c r="A16" s="85">
        <v>8</v>
      </c>
      <c r="B16" s="86">
        <v>41319.495833333334</v>
      </c>
      <c r="C16" s="146">
        <v>41324.333333333336</v>
      </c>
      <c r="D16" s="87">
        <f>(C16-B16)*24</f>
        <v>116.10000000003492</v>
      </c>
      <c r="E16" s="88" t="s">
        <v>73</v>
      </c>
      <c r="F16" s="89"/>
      <c r="G16" s="90"/>
      <c r="H16" s="146"/>
      <c r="I16" s="91"/>
      <c r="J16" s="87">
        <f>(I16-H16)*24</f>
        <v>0</v>
      </c>
      <c r="K16" s="87">
        <f>(I16-H16)*24</f>
        <v>0</v>
      </c>
      <c r="L16" s="92"/>
      <c r="M16" s="93"/>
      <c r="N16" s="93"/>
      <c r="O16" s="94" t="s">
        <v>21</v>
      </c>
      <c r="P16" s="124"/>
      <c r="Q16" s="35">
        <f t="shared" si="0"/>
      </c>
      <c r="R16" s="35">
        <f t="shared" si="1"/>
        <v>1</v>
      </c>
      <c r="S16" s="35">
        <f t="shared" si="2"/>
      </c>
      <c r="T16" s="36">
        <f t="shared" si="4"/>
        <v>1</v>
      </c>
      <c r="U16" s="30"/>
      <c r="V16" s="30"/>
      <c r="W16" s="30"/>
    </row>
    <row r="17" spans="1:23" s="34" customFormat="1" ht="12.75">
      <c r="A17" s="135"/>
      <c r="B17" s="136"/>
      <c r="C17" s="136"/>
      <c r="D17" s="137">
        <f>SUM(D15:D16)</f>
        <v>140.16666666656965</v>
      </c>
      <c r="E17" s="138"/>
      <c r="F17" s="139"/>
      <c r="G17" s="140"/>
      <c r="H17" s="141"/>
      <c r="I17" s="141"/>
      <c r="J17" s="142">
        <f>SUM(J15:J16)</f>
        <v>3.833333333430346</v>
      </c>
      <c r="K17" s="142">
        <f>SUM(K15:K16)</f>
        <v>3.833333333430346</v>
      </c>
      <c r="L17" s="143"/>
      <c r="M17" s="144"/>
      <c r="N17" s="144"/>
      <c r="O17" s="145"/>
      <c r="P17" s="84"/>
      <c r="Q17" s="35">
        <f t="shared" si="0"/>
      </c>
      <c r="R17" s="35">
        <f t="shared" si="1"/>
      </c>
      <c r="S17" s="35">
        <f t="shared" si="2"/>
      </c>
      <c r="T17" s="36">
        <f t="shared" si="4"/>
        <v>0</v>
      </c>
      <c r="U17" s="30"/>
      <c r="V17" s="30"/>
      <c r="W17" s="30"/>
    </row>
    <row r="18" spans="1:23" s="34" customFormat="1" ht="12.75">
      <c r="A18" s="85">
        <v>9</v>
      </c>
      <c r="B18" s="86">
        <v>41325.333333333336</v>
      </c>
      <c r="C18" s="146">
        <v>41330.333333333336</v>
      </c>
      <c r="D18" s="87">
        <f>(C18-B18)*24</f>
        <v>120</v>
      </c>
      <c r="E18" s="88" t="s">
        <v>73</v>
      </c>
      <c r="F18" s="89"/>
      <c r="G18" s="90"/>
      <c r="H18" s="146"/>
      <c r="I18" s="91"/>
      <c r="J18" s="87">
        <f>(I18-H18)*24</f>
        <v>0</v>
      </c>
      <c r="K18" s="87">
        <f>(I18-H18)*24</f>
        <v>0</v>
      </c>
      <c r="L18" s="92"/>
      <c r="M18" s="93"/>
      <c r="N18" s="93"/>
      <c r="O18" s="94" t="s">
        <v>21</v>
      </c>
      <c r="P18" s="124"/>
      <c r="Q18" s="35">
        <f t="shared" si="0"/>
      </c>
      <c r="R18" s="35">
        <f t="shared" si="1"/>
        <v>1</v>
      </c>
      <c r="S18" s="35">
        <f t="shared" si="2"/>
      </c>
      <c r="T18" s="36">
        <f t="shared" si="4"/>
        <v>1</v>
      </c>
      <c r="U18" s="30"/>
      <c r="V18" s="30"/>
      <c r="W18" s="30"/>
    </row>
    <row r="19" spans="1:23" s="34" customFormat="1" ht="12.75">
      <c r="A19" s="135"/>
      <c r="B19" s="136"/>
      <c r="C19" s="136"/>
      <c r="D19" s="137">
        <f>SUM(D18:D18)</f>
        <v>120</v>
      </c>
      <c r="E19" s="138"/>
      <c r="F19" s="139"/>
      <c r="G19" s="140"/>
      <c r="H19" s="141"/>
      <c r="I19" s="141"/>
      <c r="J19" s="142">
        <f>SUM(J18:J18)</f>
        <v>0</v>
      </c>
      <c r="K19" s="142">
        <f>SUM(K18:K18)</f>
        <v>0</v>
      </c>
      <c r="L19" s="143"/>
      <c r="M19" s="144"/>
      <c r="N19" s="144"/>
      <c r="O19" s="145"/>
      <c r="P19" s="84"/>
      <c r="Q19" s="35">
        <f t="shared" si="0"/>
      </c>
      <c r="R19" s="35">
        <f t="shared" si="1"/>
      </c>
      <c r="S19" s="35">
        <f t="shared" si="2"/>
      </c>
      <c r="T19" s="36">
        <f t="shared" si="4"/>
        <v>0</v>
      </c>
      <c r="U19" s="30"/>
      <c r="V19" s="30"/>
      <c r="W19" s="30"/>
    </row>
    <row r="20" spans="1:23" s="34" customFormat="1" ht="12.75">
      <c r="A20" s="95">
        <v>10</v>
      </c>
      <c r="B20" s="96">
        <v>41332.333333333336</v>
      </c>
      <c r="C20" s="96">
        <v>41333.72152777778</v>
      </c>
      <c r="D20" s="97">
        <f>(C20-B20)*24</f>
        <v>33.316666666651145</v>
      </c>
      <c r="E20" s="147" t="s">
        <v>82</v>
      </c>
      <c r="F20" s="98">
        <v>105974</v>
      </c>
      <c r="G20" s="99"/>
      <c r="H20" s="96">
        <v>41333.72152777778</v>
      </c>
      <c r="I20" s="100">
        <v>41333.75486111111</v>
      </c>
      <c r="J20" s="97">
        <f>(I20-H20)*24</f>
        <v>0.7999999999883585</v>
      </c>
      <c r="K20" s="97"/>
      <c r="L20" s="101"/>
      <c r="M20" s="102"/>
      <c r="N20" s="102"/>
      <c r="O20" s="103"/>
      <c r="P20" s="125"/>
      <c r="Q20" s="35">
        <f t="shared" si="0"/>
      </c>
      <c r="R20" s="35">
        <f t="shared" si="1"/>
      </c>
      <c r="S20" s="35">
        <f t="shared" si="2"/>
      </c>
      <c r="T20" s="36">
        <f t="shared" si="4"/>
        <v>0</v>
      </c>
      <c r="U20" s="30"/>
      <c r="V20" s="30"/>
      <c r="W20" s="30"/>
    </row>
    <row r="21" spans="1:23" s="34" customFormat="1" ht="12.75">
      <c r="A21" s="85"/>
      <c r="B21" s="166"/>
      <c r="C21" s="166"/>
      <c r="D21" s="87"/>
      <c r="E21" s="167"/>
      <c r="F21" s="89"/>
      <c r="G21" s="90"/>
      <c r="H21" s="183">
        <v>41333.72152777778</v>
      </c>
      <c r="I21" s="169">
        <v>41333.74236111111</v>
      </c>
      <c r="J21" s="184"/>
      <c r="K21" s="170">
        <f>(I21-H21)*24</f>
        <v>0.4999999998835847</v>
      </c>
      <c r="L21" s="171" t="s">
        <v>23</v>
      </c>
      <c r="M21" s="172" t="s">
        <v>23</v>
      </c>
      <c r="N21" s="172" t="s">
        <v>23</v>
      </c>
      <c r="O21" s="173" t="s">
        <v>17</v>
      </c>
      <c r="P21" s="174"/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30"/>
      <c r="V21" s="30"/>
      <c r="W21" s="30"/>
    </row>
    <row r="22" spans="1:23" s="34" customFormat="1" ht="12.75">
      <c r="A22" s="85"/>
      <c r="B22" s="166"/>
      <c r="C22" s="166"/>
      <c r="D22" s="87"/>
      <c r="E22" s="167"/>
      <c r="F22" s="89"/>
      <c r="G22" s="90"/>
      <c r="H22" s="175">
        <v>41333.74236111111</v>
      </c>
      <c r="I22" s="176">
        <v>41333.75486111111</v>
      </c>
      <c r="J22" s="177"/>
      <c r="K22" s="177">
        <f>(I22-H22)*24</f>
        <v>0.3000000001047738</v>
      </c>
      <c r="L22" s="178" t="s">
        <v>66</v>
      </c>
      <c r="M22" s="179" t="s">
        <v>66</v>
      </c>
      <c r="N22" s="179" t="s">
        <v>66</v>
      </c>
      <c r="O22" s="180" t="s">
        <v>81</v>
      </c>
      <c r="P22" s="181"/>
      <c r="Q22" s="35">
        <f t="shared" si="0"/>
      </c>
      <c r="R22" s="35">
        <f t="shared" si="1"/>
      </c>
      <c r="S22" s="35">
        <f t="shared" si="2"/>
        <v>1</v>
      </c>
      <c r="T22" s="36">
        <f t="shared" si="4"/>
        <v>1</v>
      </c>
      <c r="U22" s="30"/>
      <c r="V22" s="30"/>
      <c r="W22" s="30"/>
    </row>
    <row r="23" spans="1:23" s="34" customFormat="1" ht="12.75">
      <c r="A23" s="85">
        <v>11</v>
      </c>
      <c r="B23" s="182">
        <v>41333.75486111111</v>
      </c>
      <c r="C23" s="146">
        <v>41338.333333333336</v>
      </c>
      <c r="D23" s="87">
        <f>(C23-B23)*24</f>
        <v>109.8833333333605</v>
      </c>
      <c r="E23" s="88" t="s">
        <v>73</v>
      </c>
      <c r="F23" s="89"/>
      <c r="G23" s="90"/>
      <c r="H23" s="146"/>
      <c r="I23" s="91"/>
      <c r="J23" s="87">
        <f>(I23-H23)*24</f>
        <v>0</v>
      </c>
      <c r="K23" s="87">
        <f>(I23-H23)*24</f>
        <v>0</v>
      </c>
      <c r="L23" s="92"/>
      <c r="M23" s="93"/>
      <c r="N23" s="93"/>
      <c r="O23" s="94" t="s">
        <v>21</v>
      </c>
      <c r="P23" s="124"/>
      <c r="Q23" s="35">
        <f t="shared" si="0"/>
      </c>
      <c r="R23" s="35">
        <f t="shared" si="1"/>
        <v>1</v>
      </c>
      <c r="S23" s="35">
        <f t="shared" si="2"/>
      </c>
      <c r="T23" s="36">
        <f t="shared" si="4"/>
        <v>1</v>
      </c>
      <c r="U23" s="30"/>
      <c r="V23" s="30"/>
      <c r="W23" s="30"/>
    </row>
    <row r="24" spans="1:23" s="34" customFormat="1" ht="12.75">
      <c r="A24" s="135"/>
      <c r="B24" s="136"/>
      <c r="C24" s="136"/>
      <c r="D24" s="137">
        <f>SUM(D20:D23)</f>
        <v>143.20000000001164</v>
      </c>
      <c r="E24" s="138"/>
      <c r="F24" s="139"/>
      <c r="G24" s="140"/>
      <c r="H24" s="141"/>
      <c r="I24" s="141"/>
      <c r="J24" s="142">
        <f>SUM(J20:J23)</f>
        <v>0.7999999999883585</v>
      </c>
      <c r="K24" s="142">
        <f>SUM(K20:K23)</f>
        <v>0.7999999999883585</v>
      </c>
      <c r="L24" s="143"/>
      <c r="M24" s="144"/>
      <c r="N24" s="144"/>
      <c r="O24" s="145"/>
      <c r="P24" s="84"/>
      <c r="Q24" s="35">
        <f t="shared" si="0"/>
      </c>
      <c r="R24" s="35">
        <f t="shared" si="1"/>
      </c>
      <c r="S24" s="35">
        <f t="shared" si="2"/>
      </c>
      <c r="T24" s="36">
        <f t="shared" si="4"/>
        <v>0</v>
      </c>
      <c r="U24" s="30"/>
      <c r="V24" s="30"/>
      <c r="W24" s="30"/>
    </row>
    <row r="25" spans="1:23" s="34" customFormat="1" ht="12.75">
      <c r="A25" s="85">
        <v>12</v>
      </c>
      <c r="B25" s="166">
        <v>41339.333333333336</v>
      </c>
      <c r="C25" s="166">
        <v>41340.88680555556</v>
      </c>
      <c r="D25" s="87">
        <f>(C25-B25)*24</f>
        <v>37.28333333332557</v>
      </c>
      <c r="E25" s="167" t="s">
        <v>83</v>
      </c>
      <c r="F25" s="89">
        <v>105976</v>
      </c>
      <c r="G25" s="90"/>
      <c r="H25" s="166">
        <v>41340.88680555556</v>
      </c>
      <c r="I25" s="182">
        <v>41341.086805555555</v>
      </c>
      <c r="J25" s="87">
        <f>(I25-H25)*24</f>
        <v>4.799999999930151</v>
      </c>
      <c r="K25" s="87">
        <f>(I25-H25)*24</f>
        <v>4.799999999930151</v>
      </c>
      <c r="L25" s="92" t="s">
        <v>23</v>
      </c>
      <c r="M25" s="93" t="s">
        <v>23</v>
      </c>
      <c r="N25" s="93" t="s">
        <v>23</v>
      </c>
      <c r="O25" s="94" t="s">
        <v>17</v>
      </c>
      <c r="P25" s="124"/>
      <c r="Q25" s="35">
        <f t="shared" si="0"/>
        <v>1</v>
      </c>
      <c r="R25" s="35">
        <f t="shared" si="1"/>
      </c>
      <c r="S25" s="35">
        <f t="shared" si="2"/>
      </c>
      <c r="T25" s="36">
        <f aca="true" t="shared" si="5" ref="T25:T30">SUM(Q25:S25)</f>
        <v>1</v>
      </c>
      <c r="U25" s="30"/>
      <c r="V25" s="30"/>
      <c r="W25" s="30"/>
    </row>
    <row r="26" spans="1:23" s="34" customFormat="1" ht="12.75">
      <c r="A26" s="95">
        <v>14</v>
      </c>
      <c r="B26" s="96">
        <v>41341.086805555555</v>
      </c>
      <c r="C26" s="96">
        <v>41341.60972222222</v>
      </c>
      <c r="D26" s="97">
        <f>(C26-B26)*24</f>
        <v>12.550000000046566</v>
      </c>
      <c r="E26" s="147" t="s">
        <v>84</v>
      </c>
      <c r="F26" s="98">
        <v>105977</v>
      </c>
      <c r="G26" s="99"/>
      <c r="H26" s="96">
        <v>41341.60972222222</v>
      </c>
      <c r="I26" s="100">
        <v>41341.63263888889</v>
      </c>
      <c r="J26" s="97">
        <f>(I26-H26)*24</f>
        <v>0.5500000000465661</v>
      </c>
      <c r="K26" s="97">
        <f>(I26-H26)*24</f>
        <v>0.5500000000465661</v>
      </c>
      <c r="L26" s="101" t="s">
        <v>69</v>
      </c>
      <c r="M26" s="102" t="s">
        <v>69</v>
      </c>
      <c r="N26" s="102" t="s">
        <v>69</v>
      </c>
      <c r="O26" s="103" t="s">
        <v>17</v>
      </c>
      <c r="P26" s="125"/>
      <c r="Q26" s="35">
        <f t="shared" si="0"/>
        <v>1</v>
      </c>
      <c r="R26" s="35">
        <f t="shared" si="1"/>
      </c>
      <c r="S26" s="35">
        <f t="shared" si="2"/>
      </c>
      <c r="T26" s="36">
        <f t="shared" si="5"/>
        <v>1</v>
      </c>
      <c r="U26" s="30"/>
      <c r="V26" s="30"/>
      <c r="W26" s="30"/>
    </row>
    <row r="27" spans="1:23" s="34" customFormat="1" ht="12.75">
      <c r="A27" s="85">
        <v>15</v>
      </c>
      <c r="B27" s="182">
        <v>41341.63263888889</v>
      </c>
      <c r="C27" s="146">
        <v>41344.333333333336</v>
      </c>
      <c r="D27" s="87">
        <f>(C27-B27)*24-1</f>
        <v>63.816666666651145</v>
      </c>
      <c r="E27" s="88" t="s">
        <v>73</v>
      </c>
      <c r="F27" s="89"/>
      <c r="G27" s="90"/>
      <c r="H27" s="146"/>
      <c r="I27" s="91"/>
      <c r="J27" s="87">
        <f>(I27-H27)*24</f>
        <v>0</v>
      </c>
      <c r="K27" s="87">
        <f>(I27-H27)*24</f>
        <v>0</v>
      </c>
      <c r="L27" s="92"/>
      <c r="M27" s="93"/>
      <c r="N27" s="93"/>
      <c r="O27" s="94" t="s">
        <v>21</v>
      </c>
      <c r="P27" s="124"/>
      <c r="Q27" s="35">
        <f t="shared" si="0"/>
      </c>
      <c r="R27" s="35">
        <f t="shared" si="1"/>
        <v>1</v>
      </c>
      <c r="S27" s="35">
        <f t="shared" si="2"/>
      </c>
      <c r="T27" s="36">
        <f t="shared" si="5"/>
        <v>1</v>
      </c>
      <c r="U27" s="30"/>
      <c r="V27" s="30"/>
      <c r="W27" s="30"/>
    </row>
    <row r="28" spans="1:23" s="34" customFormat="1" ht="12.75">
      <c r="A28" s="135"/>
      <c r="B28" s="136"/>
      <c r="C28" s="136"/>
      <c r="D28" s="137">
        <f>SUM(D25:D27)</f>
        <v>113.65000000002328</v>
      </c>
      <c r="E28" s="138"/>
      <c r="F28" s="139"/>
      <c r="G28" s="140"/>
      <c r="H28" s="141"/>
      <c r="I28" s="141"/>
      <c r="J28" s="142">
        <f>SUM(J25:J27)</f>
        <v>5.349999999976717</v>
      </c>
      <c r="K28" s="142">
        <f>SUM(K25:K27)</f>
        <v>5.349999999976717</v>
      </c>
      <c r="L28" s="143"/>
      <c r="M28" s="144"/>
      <c r="N28" s="144"/>
      <c r="O28" s="145"/>
      <c r="P28" s="84"/>
      <c r="Q28" s="35">
        <f t="shared" si="0"/>
      </c>
      <c r="R28" s="35">
        <f t="shared" si="1"/>
      </c>
      <c r="S28" s="35">
        <f t="shared" si="2"/>
      </c>
      <c r="T28" s="36">
        <f t="shared" si="5"/>
        <v>0</v>
      </c>
      <c r="U28" s="30"/>
      <c r="V28" s="30"/>
      <c r="W28" s="30"/>
    </row>
    <row r="29" spans="1:23" s="34" customFormat="1" ht="12.75">
      <c r="A29" s="85">
        <v>16</v>
      </c>
      <c r="B29" s="86">
        <v>41346.333333333336</v>
      </c>
      <c r="C29" s="146">
        <v>41352.333333333336</v>
      </c>
      <c r="D29" s="87">
        <f>(C29-B29)*24</f>
        <v>144</v>
      </c>
      <c r="E29" s="88" t="s">
        <v>73</v>
      </c>
      <c r="F29" s="89"/>
      <c r="G29" s="90"/>
      <c r="H29" s="146"/>
      <c r="I29" s="91"/>
      <c r="J29" s="87">
        <f>(I29-H29)*24</f>
        <v>0</v>
      </c>
      <c r="K29" s="87">
        <f>(I29-H29)*24</f>
        <v>0</v>
      </c>
      <c r="L29" s="92"/>
      <c r="M29" s="93"/>
      <c r="N29" s="93"/>
      <c r="O29" s="94" t="s">
        <v>21</v>
      </c>
      <c r="P29" s="124"/>
      <c r="Q29" s="35">
        <f t="shared" si="0"/>
      </c>
      <c r="R29" s="35">
        <f t="shared" si="1"/>
        <v>1</v>
      </c>
      <c r="S29" s="35">
        <f t="shared" si="2"/>
      </c>
      <c r="T29" s="36">
        <f t="shared" si="5"/>
        <v>1</v>
      </c>
      <c r="U29" s="30"/>
      <c r="V29" s="30"/>
      <c r="W29" s="30"/>
    </row>
    <row r="30" spans="1:23" s="34" customFormat="1" ht="12.75">
      <c r="A30" s="135"/>
      <c r="B30" s="136"/>
      <c r="C30" s="136"/>
      <c r="D30" s="137">
        <f>SUM(D29:D29)</f>
        <v>144</v>
      </c>
      <c r="E30" s="138"/>
      <c r="F30" s="139"/>
      <c r="G30" s="140"/>
      <c r="H30" s="141"/>
      <c r="I30" s="141"/>
      <c r="J30" s="142">
        <f>SUM(J29:J29)</f>
        <v>0</v>
      </c>
      <c r="K30" s="142">
        <f>SUM(K29:K29)</f>
        <v>0</v>
      </c>
      <c r="L30" s="143"/>
      <c r="M30" s="144"/>
      <c r="N30" s="144"/>
      <c r="O30" s="145"/>
      <c r="P30" s="84"/>
      <c r="Q30" s="35">
        <f t="shared" si="0"/>
      </c>
      <c r="R30" s="35">
        <f t="shared" si="1"/>
      </c>
      <c r="S30" s="35">
        <f t="shared" si="2"/>
      </c>
      <c r="T30" s="36">
        <f t="shared" si="5"/>
        <v>0</v>
      </c>
      <c r="U30" s="30"/>
      <c r="V30" s="30"/>
      <c r="W30" s="30"/>
    </row>
    <row r="31" spans="1:23" s="34" customFormat="1" ht="12.75">
      <c r="A31" s="85">
        <v>17</v>
      </c>
      <c r="B31" s="86">
        <v>41353.333333333336</v>
      </c>
      <c r="C31" s="146">
        <v>41359.333333333336</v>
      </c>
      <c r="D31" s="87">
        <f>(C31-B31)*24</f>
        <v>144</v>
      </c>
      <c r="E31" s="88" t="s">
        <v>73</v>
      </c>
      <c r="F31" s="89"/>
      <c r="G31" s="90"/>
      <c r="H31" s="146"/>
      <c r="I31" s="91"/>
      <c r="J31" s="87">
        <f>(I31-H31)*24</f>
        <v>0</v>
      </c>
      <c r="K31" s="87">
        <f>(I31-H31)*24</f>
        <v>0</v>
      </c>
      <c r="L31" s="92"/>
      <c r="M31" s="93"/>
      <c r="N31" s="93"/>
      <c r="O31" s="94" t="s">
        <v>21</v>
      </c>
      <c r="P31" s="124"/>
      <c r="Q31" s="35">
        <f t="shared" si="0"/>
      </c>
      <c r="R31" s="35">
        <f t="shared" si="1"/>
        <v>1</v>
      </c>
      <c r="S31" s="35">
        <f t="shared" si="2"/>
      </c>
      <c r="T31" s="36">
        <f aca="true" t="shared" si="6" ref="T31:T38">SUM(Q31:S31)</f>
        <v>1</v>
      </c>
      <c r="U31" s="30"/>
      <c r="V31" s="30"/>
      <c r="W31" s="30"/>
    </row>
    <row r="32" spans="1:23" s="34" customFormat="1" ht="12.75">
      <c r="A32" s="135"/>
      <c r="B32" s="136"/>
      <c r="C32" s="136"/>
      <c r="D32" s="137">
        <f>SUM(D31:D31)</f>
        <v>144</v>
      </c>
      <c r="E32" s="138"/>
      <c r="F32" s="139"/>
      <c r="G32" s="140"/>
      <c r="H32" s="141"/>
      <c r="I32" s="141"/>
      <c r="J32" s="142">
        <f>SUM(J31:J31)</f>
        <v>0</v>
      </c>
      <c r="K32" s="142">
        <f>SUM(K31:K31)</f>
        <v>0</v>
      </c>
      <c r="L32" s="143"/>
      <c r="M32" s="144"/>
      <c r="N32" s="144"/>
      <c r="O32" s="145"/>
      <c r="P32" s="84"/>
      <c r="Q32" s="35">
        <f t="shared" si="0"/>
      </c>
      <c r="R32" s="35">
        <f t="shared" si="1"/>
      </c>
      <c r="S32" s="35">
        <f t="shared" si="2"/>
      </c>
      <c r="T32" s="36">
        <f t="shared" si="6"/>
        <v>0</v>
      </c>
      <c r="U32" s="30"/>
      <c r="V32" s="30"/>
      <c r="W32" s="30"/>
    </row>
    <row r="33" spans="1:23" s="34" customFormat="1" ht="12.75">
      <c r="A33" s="85">
        <v>18</v>
      </c>
      <c r="B33" s="86">
        <v>41360.333333333336</v>
      </c>
      <c r="C33" s="146">
        <v>41366.333333333336</v>
      </c>
      <c r="D33" s="87">
        <f>(C33-B33)*24</f>
        <v>144</v>
      </c>
      <c r="E33" s="88" t="s">
        <v>73</v>
      </c>
      <c r="F33" s="89"/>
      <c r="G33" s="90"/>
      <c r="H33" s="146"/>
      <c r="I33" s="91"/>
      <c r="J33" s="87">
        <f>(I33-H33)*24</f>
        <v>0</v>
      </c>
      <c r="K33" s="87">
        <f>(I33-H33)*24</f>
        <v>0</v>
      </c>
      <c r="L33" s="92"/>
      <c r="M33" s="93"/>
      <c r="N33" s="93"/>
      <c r="O33" s="94" t="s">
        <v>21</v>
      </c>
      <c r="P33" s="124"/>
      <c r="Q33" s="35">
        <f t="shared" si="0"/>
      </c>
      <c r="R33" s="35">
        <f t="shared" si="1"/>
        <v>1</v>
      </c>
      <c r="S33" s="35">
        <f t="shared" si="2"/>
      </c>
      <c r="T33" s="36">
        <f t="shared" si="6"/>
        <v>1</v>
      </c>
      <c r="U33" s="30"/>
      <c r="V33" s="30"/>
      <c r="W33" s="30"/>
    </row>
    <row r="34" spans="1:23" s="34" customFormat="1" ht="12.75">
      <c r="A34" s="135"/>
      <c r="B34" s="136"/>
      <c r="C34" s="136"/>
      <c r="D34" s="137">
        <f>SUM(D33:D33)</f>
        <v>144</v>
      </c>
      <c r="E34" s="138"/>
      <c r="F34" s="139"/>
      <c r="G34" s="140"/>
      <c r="H34" s="141"/>
      <c r="I34" s="141"/>
      <c r="J34" s="142">
        <f>SUM(J33:J33)</f>
        <v>0</v>
      </c>
      <c r="K34" s="142">
        <f>SUM(K33:K33)</f>
        <v>0</v>
      </c>
      <c r="L34" s="143"/>
      <c r="M34" s="144"/>
      <c r="N34" s="144"/>
      <c r="O34" s="145"/>
      <c r="P34" s="84"/>
      <c r="Q34" s="35">
        <f t="shared" si="0"/>
      </c>
      <c r="R34" s="35">
        <f t="shared" si="1"/>
      </c>
      <c r="S34" s="35">
        <f t="shared" si="2"/>
      </c>
      <c r="T34" s="36">
        <f t="shared" si="6"/>
        <v>0</v>
      </c>
      <c r="U34" s="30"/>
      <c r="V34" s="30"/>
      <c r="W34" s="30"/>
    </row>
    <row r="35" spans="1:23" s="34" customFormat="1" ht="12.75">
      <c r="A35" s="85">
        <v>19</v>
      </c>
      <c r="B35" s="166">
        <v>41367.333333333336</v>
      </c>
      <c r="C35" s="166">
        <v>41370.58194444444</v>
      </c>
      <c r="D35" s="87">
        <f>(C35-B35)*24</f>
        <v>77.96666666655801</v>
      </c>
      <c r="E35" s="167" t="s">
        <v>85</v>
      </c>
      <c r="F35" s="89">
        <v>105982</v>
      </c>
      <c r="G35" s="90"/>
      <c r="H35" s="166">
        <v>41370.58194444444</v>
      </c>
      <c r="I35" s="182">
        <v>41370.6125</v>
      </c>
      <c r="J35" s="87">
        <f>(I35-H35)*24</f>
        <v>0.7333333334536292</v>
      </c>
      <c r="K35" s="87">
        <f>(I35-H35)*24</f>
        <v>0.7333333334536292</v>
      </c>
      <c r="L35" s="92" t="s">
        <v>75</v>
      </c>
      <c r="M35" s="93" t="s">
        <v>75</v>
      </c>
      <c r="N35" s="93" t="s">
        <v>75</v>
      </c>
      <c r="O35" s="94" t="s">
        <v>17</v>
      </c>
      <c r="P35" s="124"/>
      <c r="Q35" s="35">
        <f t="shared" si="0"/>
        <v>1</v>
      </c>
      <c r="R35" s="35">
        <f t="shared" si="1"/>
      </c>
      <c r="S35" s="35">
        <f t="shared" si="2"/>
      </c>
      <c r="T35" s="36">
        <f t="shared" si="6"/>
        <v>1</v>
      </c>
      <c r="U35" s="30"/>
      <c r="V35" s="30"/>
      <c r="W35" s="30"/>
    </row>
    <row r="36" spans="1:23" s="34" customFormat="1" ht="12.75">
      <c r="A36" s="95">
        <v>20</v>
      </c>
      <c r="B36" s="96">
        <v>41370.6125</v>
      </c>
      <c r="C36" s="96">
        <v>41372.35277777778</v>
      </c>
      <c r="D36" s="97">
        <f>(C36-B36)*24</f>
        <v>41.76666666660458</v>
      </c>
      <c r="E36" s="147" t="s">
        <v>86</v>
      </c>
      <c r="F36" s="98">
        <v>105986</v>
      </c>
      <c r="G36" s="99"/>
      <c r="H36" s="96">
        <v>41372.35277777778</v>
      </c>
      <c r="I36" s="100">
        <v>41372.40902777778</v>
      </c>
      <c r="J36" s="97">
        <f>(I36-H36)*24</f>
        <v>1.3500000000349246</v>
      </c>
      <c r="K36" s="97">
        <f>(I36-H36)*24</f>
        <v>1.3500000000349246</v>
      </c>
      <c r="L36" s="101" t="s">
        <v>22</v>
      </c>
      <c r="M36" s="102" t="s">
        <v>22</v>
      </c>
      <c r="N36" s="102" t="s">
        <v>22</v>
      </c>
      <c r="O36" s="103" t="s">
        <v>17</v>
      </c>
      <c r="P36" s="125"/>
      <c r="Q36" s="35">
        <f t="shared" si="0"/>
        <v>1</v>
      </c>
      <c r="R36" s="35">
        <f t="shared" si="1"/>
      </c>
      <c r="S36" s="35">
        <f t="shared" si="2"/>
      </c>
      <c r="T36" s="36">
        <f t="shared" si="6"/>
        <v>1</v>
      </c>
      <c r="U36" s="30"/>
      <c r="V36" s="30"/>
      <c r="W36" s="30"/>
    </row>
    <row r="37" spans="1:23" s="34" customFormat="1" ht="12.75">
      <c r="A37" s="85">
        <v>21</v>
      </c>
      <c r="B37" s="86">
        <v>41372.40902777778</v>
      </c>
      <c r="C37" s="146">
        <v>41373.333333333336</v>
      </c>
      <c r="D37" s="87">
        <f>(C37-B37)*24</f>
        <v>22.183333333348855</v>
      </c>
      <c r="E37" s="88" t="s">
        <v>73</v>
      </c>
      <c r="F37" s="89"/>
      <c r="G37" s="90"/>
      <c r="H37" s="146"/>
      <c r="I37" s="91"/>
      <c r="J37" s="87">
        <f>(I37-H37)*24</f>
        <v>0</v>
      </c>
      <c r="K37" s="87">
        <f>(I37-H37)*24</f>
        <v>0</v>
      </c>
      <c r="L37" s="92"/>
      <c r="M37" s="93"/>
      <c r="N37" s="93"/>
      <c r="O37" s="94" t="s">
        <v>21</v>
      </c>
      <c r="P37" s="124"/>
      <c r="Q37" s="35">
        <f t="shared" si="0"/>
      </c>
      <c r="R37" s="35">
        <f t="shared" si="1"/>
        <v>1</v>
      </c>
      <c r="S37" s="35">
        <f t="shared" si="2"/>
      </c>
      <c r="T37" s="36">
        <f t="shared" si="6"/>
        <v>1</v>
      </c>
      <c r="U37" s="30"/>
      <c r="V37" s="30"/>
      <c r="W37" s="30"/>
    </row>
    <row r="38" spans="1:23" s="34" customFormat="1" ht="12.75">
      <c r="A38" s="135"/>
      <c r="B38" s="136"/>
      <c r="C38" s="136"/>
      <c r="D38" s="137">
        <f>SUM(D35:D37)</f>
        <v>141.91666666651145</v>
      </c>
      <c r="E38" s="138"/>
      <c r="F38" s="139"/>
      <c r="G38" s="140"/>
      <c r="H38" s="141"/>
      <c r="I38" s="141"/>
      <c r="J38" s="142">
        <f>SUM(J35:J37)</f>
        <v>2.0833333334885538</v>
      </c>
      <c r="K38" s="142">
        <f>SUM(K35:K37)</f>
        <v>2.0833333334885538</v>
      </c>
      <c r="L38" s="143"/>
      <c r="M38" s="144"/>
      <c r="N38" s="144"/>
      <c r="O38" s="145"/>
      <c r="P38" s="84"/>
      <c r="Q38" s="35">
        <f t="shared" si="0"/>
      </c>
      <c r="R38" s="35">
        <f t="shared" si="1"/>
      </c>
      <c r="S38" s="35">
        <f t="shared" si="2"/>
      </c>
      <c r="T38" s="36">
        <f t="shared" si="6"/>
        <v>0</v>
      </c>
      <c r="U38" s="30"/>
      <c r="V38" s="30"/>
      <c r="W38" s="30"/>
    </row>
    <row r="39" spans="1:23" s="34" customFormat="1" ht="12.75">
      <c r="A39" s="85">
        <v>22</v>
      </c>
      <c r="B39" s="86">
        <v>41374.333333333336</v>
      </c>
      <c r="C39" s="146">
        <v>41380.333333333336</v>
      </c>
      <c r="D39" s="87">
        <f>(C39-B39)*24</f>
        <v>144</v>
      </c>
      <c r="E39" s="88" t="s">
        <v>73</v>
      </c>
      <c r="F39" s="89"/>
      <c r="G39" s="90"/>
      <c r="H39" s="146"/>
      <c r="I39" s="91"/>
      <c r="J39" s="87">
        <f>(I39-H39)*24</f>
        <v>0</v>
      </c>
      <c r="K39" s="87">
        <f>(I39-H39)*24</f>
        <v>0</v>
      </c>
      <c r="L39" s="92"/>
      <c r="M39" s="93"/>
      <c r="N39" s="93"/>
      <c r="O39" s="94" t="s">
        <v>21</v>
      </c>
      <c r="P39" s="124"/>
      <c r="Q39" s="35">
        <f t="shared" si="0"/>
      </c>
      <c r="R39" s="35">
        <f t="shared" si="1"/>
        <v>1</v>
      </c>
      <c r="S39" s="35">
        <f t="shared" si="2"/>
      </c>
      <c r="T39" s="36">
        <f aca="true" t="shared" si="7" ref="T39:T46">SUM(Q39:S39)</f>
        <v>1</v>
      </c>
      <c r="U39" s="30"/>
      <c r="V39" s="30"/>
      <c r="W39" s="30"/>
    </row>
    <row r="40" spans="1:23" s="34" customFormat="1" ht="12.75">
      <c r="A40" s="135"/>
      <c r="B40" s="136"/>
      <c r="C40" s="136"/>
      <c r="D40" s="137">
        <f>SUM(D39:D39)</f>
        <v>144</v>
      </c>
      <c r="E40" s="138"/>
      <c r="F40" s="139"/>
      <c r="G40" s="140"/>
      <c r="H40" s="141"/>
      <c r="I40" s="141"/>
      <c r="J40" s="142">
        <f>SUM(J39:J39)</f>
        <v>0</v>
      </c>
      <c r="K40" s="142">
        <f>SUM(K39:K39)</f>
        <v>0</v>
      </c>
      <c r="L40" s="143"/>
      <c r="M40" s="144"/>
      <c r="N40" s="144"/>
      <c r="O40" s="145"/>
      <c r="P40" s="84"/>
      <c r="Q40" s="35">
        <f t="shared" si="0"/>
      </c>
      <c r="R40" s="35">
        <f t="shared" si="1"/>
      </c>
      <c r="S40" s="35">
        <f t="shared" si="2"/>
      </c>
      <c r="T40" s="36">
        <f t="shared" si="7"/>
        <v>0</v>
      </c>
      <c r="U40" s="30"/>
      <c r="V40" s="30"/>
      <c r="W40" s="30"/>
    </row>
    <row r="41" spans="1:23" s="34" customFormat="1" ht="12.75">
      <c r="A41" s="95">
        <v>23</v>
      </c>
      <c r="B41" s="96">
        <v>41381.333333333336</v>
      </c>
      <c r="C41" s="96">
        <v>41386.49930555555</v>
      </c>
      <c r="D41" s="97">
        <f>(C41-B41)*24</f>
        <v>123.9833333332208</v>
      </c>
      <c r="E41" s="147" t="s">
        <v>89</v>
      </c>
      <c r="F41" s="98">
        <v>105990</v>
      </c>
      <c r="G41" s="99"/>
      <c r="H41" s="96">
        <v>41386.49930555555</v>
      </c>
      <c r="I41" s="100">
        <v>41386.58888888889</v>
      </c>
      <c r="J41" s="97">
        <f>(I41-H41)*24</f>
        <v>2.150000000023283</v>
      </c>
      <c r="K41" s="97"/>
      <c r="L41" s="185"/>
      <c r="M41" s="185"/>
      <c r="N41" s="185"/>
      <c r="O41" s="103"/>
      <c r="P41" s="125"/>
      <c r="Q41" s="35">
        <f t="shared" si="0"/>
      </c>
      <c r="R41" s="35">
        <f t="shared" si="1"/>
      </c>
      <c r="S41" s="35">
        <f t="shared" si="2"/>
      </c>
      <c r="T41" s="36">
        <f t="shared" si="7"/>
        <v>0</v>
      </c>
      <c r="U41" s="30"/>
      <c r="V41" s="30"/>
      <c r="W41" s="30"/>
    </row>
    <row r="42" spans="1:23" s="34" customFormat="1" ht="12.75">
      <c r="A42" s="85"/>
      <c r="B42" s="166"/>
      <c r="C42" s="166"/>
      <c r="D42" s="87"/>
      <c r="E42" s="167"/>
      <c r="F42" s="89"/>
      <c r="G42" s="90"/>
      <c r="H42" s="186">
        <v>41386.49930555555</v>
      </c>
      <c r="I42" s="187">
        <v>41386.561111111114</v>
      </c>
      <c r="J42" s="188"/>
      <c r="K42" s="188">
        <f>(I42-H42)*24</f>
        <v>1.4833333334536292</v>
      </c>
      <c r="L42" s="189" t="s">
        <v>69</v>
      </c>
      <c r="M42" s="190" t="s">
        <v>69</v>
      </c>
      <c r="N42" s="190" t="s">
        <v>69</v>
      </c>
      <c r="O42" s="191" t="s">
        <v>17</v>
      </c>
      <c r="P42" s="192"/>
      <c r="Q42" s="35">
        <f t="shared" si="0"/>
        <v>1</v>
      </c>
      <c r="R42" s="35">
        <f t="shared" si="1"/>
      </c>
      <c r="S42" s="35">
        <f t="shared" si="2"/>
      </c>
      <c r="T42" s="36">
        <f t="shared" si="7"/>
        <v>1</v>
      </c>
      <c r="U42" s="30"/>
      <c r="V42" s="30"/>
      <c r="W42" s="30"/>
    </row>
    <row r="43" spans="1:23" s="34" customFormat="1" ht="12.75">
      <c r="A43" s="85"/>
      <c r="B43" s="166"/>
      <c r="C43" s="166"/>
      <c r="D43" s="87"/>
      <c r="E43" s="167"/>
      <c r="F43" s="89"/>
      <c r="G43" s="90"/>
      <c r="H43" s="181">
        <v>41386.55138888889</v>
      </c>
      <c r="I43" s="181">
        <v>41386.58888888889</v>
      </c>
      <c r="J43" s="181"/>
      <c r="K43" s="196">
        <f>(I43-H43)*24</f>
        <v>0.8999999999650754</v>
      </c>
      <c r="L43" s="181" t="s">
        <v>88</v>
      </c>
      <c r="M43" s="181" t="s">
        <v>88</v>
      </c>
      <c r="N43" s="181" t="s">
        <v>88</v>
      </c>
      <c r="O43" s="181" t="s">
        <v>81</v>
      </c>
      <c r="P43" s="181"/>
      <c r="Q43" s="35">
        <f t="shared" si="0"/>
      </c>
      <c r="R43" s="35">
        <f t="shared" si="1"/>
      </c>
      <c r="S43" s="35">
        <f t="shared" si="2"/>
        <v>1</v>
      </c>
      <c r="T43" s="36">
        <f t="shared" si="7"/>
        <v>1</v>
      </c>
      <c r="U43" s="30"/>
      <c r="V43" s="30"/>
      <c r="W43" s="30"/>
    </row>
    <row r="44" spans="1:23" s="34" customFormat="1" ht="12.75">
      <c r="A44" s="85"/>
      <c r="B44" s="166"/>
      <c r="C44" s="166"/>
      <c r="D44" s="87"/>
      <c r="E44" s="167"/>
      <c r="F44" s="89"/>
      <c r="G44" s="90"/>
      <c r="H44" s="186">
        <v>41386.56736111111</v>
      </c>
      <c r="I44" s="187">
        <v>41386.58888888889</v>
      </c>
      <c r="J44" s="188"/>
      <c r="K44" s="188">
        <f>(I44-H44)*24</f>
        <v>0.5166666666045785</v>
      </c>
      <c r="L44" s="193" t="s">
        <v>66</v>
      </c>
      <c r="M44" s="194" t="s">
        <v>66</v>
      </c>
      <c r="N44" s="194" t="s">
        <v>66</v>
      </c>
      <c r="O44" s="195" t="s">
        <v>81</v>
      </c>
      <c r="P44" s="192"/>
      <c r="Q44" s="35">
        <f t="shared" si="0"/>
      </c>
      <c r="R44" s="35">
        <f t="shared" si="1"/>
      </c>
      <c r="S44" s="35">
        <f t="shared" si="2"/>
        <v>1</v>
      </c>
      <c r="T44" s="36">
        <f t="shared" si="7"/>
        <v>1</v>
      </c>
      <c r="U44" s="30"/>
      <c r="V44" s="30"/>
      <c r="W44" s="30"/>
    </row>
    <row r="45" spans="1:23" s="34" customFormat="1" ht="12.75">
      <c r="A45" s="85">
        <v>24</v>
      </c>
      <c r="B45" s="86">
        <v>41386.58888888889</v>
      </c>
      <c r="C45" s="146">
        <v>41388.333333333336</v>
      </c>
      <c r="D45" s="87">
        <f>(C45-B45)*24</f>
        <v>41.86666666675592</v>
      </c>
      <c r="E45" s="88" t="s">
        <v>73</v>
      </c>
      <c r="F45" s="89"/>
      <c r="G45" s="90"/>
      <c r="H45" s="146"/>
      <c r="I45" s="91"/>
      <c r="J45" s="87">
        <f>(I45-H45)*24</f>
        <v>0</v>
      </c>
      <c r="K45" s="87">
        <f>(I45-H45)*24</f>
        <v>0</v>
      </c>
      <c r="L45" s="92"/>
      <c r="M45" s="93"/>
      <c r="N45" s="93"/>
      <c r="O45" s="94" t="s">
        <v>21</v>
      </c>
      <c r="P45" s="124"/>
      <c r="Q45" s="35">
        <f t="shared" si="0"/>
      </c>
      <c r="R45" s="35">
        <f t="shared" si="1"/>
        <v>1</v>
      </c>
      <c r="S45" s="35">
        <f t="shared" si="2"/>
      </c>
      <c r="T45" s="36">
        <f t="shared" si="7"/>
        <v>1</v>
      </c>
      <c r="U45" s="30"/>
      <c r="V45" s="30"/>
      <c r="W45" s="30"/>
    </row>
    <row r="46" spans="1:23" s="34" customFormat="1" ht="12.75">
      <c r="A46" s="135"/>
      <c r="B46" s="136"/>
      <c r="C46" s="136"/>
      <c r="D46" s="137">
        <f>SUM(D41:D45)</f>
        <v>165.84999999997672</v>
      </c>
      <c r="E46" s="138"/>
      <c r="F46" s="139"/>
      <c r="G46" s="140"/>
      <c r="H46" s="141"/>
      <c r="I46" s="141"/>
      <c r="J46" s="142">
        <f>SUM(J41:J45)</f>
        <v>2.150000000023283</v>
      </c>
      <c r="K46" s="142">
        <f>SUM(K41:K45)</f>
        <v>2.900000000023283</v>
      </c>
      <c r="L46" s="143"/>
      <c r="M46" s="144"/>
      <c r="N46" s="144"/>
      <c r="O46" s="145"/>
      <c r="P46" s="84"/>
      <c r="Q46" s="35">
        <f t="shared" si="0"/>
      </c>
      <c r="R46" s="35">
        <f t="shared" si="1"/>
      </c>
      <c r="S46" s="35">
        <f t="shared" si="2"/>
      </c>
      <c r="T46" s="36">
        <f t="shared" si="7"/>
        <v>0</v>
      </c>
      <c r="U46" s="30"/>
      <c r="V46" s="30"/>
      <c r="W46" s="30"/>
    </row>
    <row r="47" spans="1:23" s="161" customFormat="1" ht="12.75">
      <c r="A47" s="149"/>
      <c r="B47" s="150"/>
      <c r="C47" s="150"/>
      <c r="D47" s="151"/>
      <c r="E47" s="152"/>
      <c r="F47" s="153"/>
      <c r="G47" s="154"/>
      <c r="H47" s="150"/>
      <c r="I47" s="150"/>
      <c r="J47" s="155"/>
      <c r="K47" s="155"/>
      <c r="L47" s="156"/>
      <c r="M47" s="157"/>
      <c r="N47" s="157"/>
      <c r="O47" s="158"/>
      <c r="P47" s="152"/>
      <c r="Q47" s="159"/>
      <c r="R47" s="159"/>
      <c r="S47" s="159"/>
      <c r="T47" s="159"/>
      <c r="U47" s="160"/>
      <c r="V47" s="160"/>
      <c r="W47" s="160"/>
    </row>
    <row r="48" spans="1:18" ht="12.75">
      <c r="A48" s="28"/>
      <c r="B48" s="14"/>
      <c r="C48" s="37" t="s">
        <v>25</v>
      </c>
      <c r="D48" s="38">
        <f>Q50</f>
        <v>10</v>
      </c>
      <c r="E48" s="16"/>
      <c r="F48" s="29"/>
      <c r="G48" s="18"/>
      <c r="H48" s="19"/>
      <c r="I48" s="19"/>
      <c r="J48" s="39" t="s">
        <v>26</v>
      </c>
      <c r="K48" s="40"/>
      <c r="L48" s="21"/>
      <c r="M48" s="22"/>
      <c r="N48" s="22"/>
      <c r="O48" s="41"/>
      <c r="P48" s="23"/>
      <c r="R48" s="12">
        <f>IF($L48="Scheduled",1,"")</f>
      </c>
    </row>
    <row r="49" spans="1:18" ht="12.75">
      <c r="A49" s="28"/>
      <c r="B49" s="14"/>
      <c r="C49" s="37" t="s">
        <v>27</v>
      </c>
      <c r="D49" s="38">
        <f>D50-D48</f>
        <v>12</v>
      </c>
      <c r="E49" s="16"/>
      <c r="F49" s="29"/>
      <c r="G49" s="18"/>
      <c r="H49" s="19"/>
      <c r="I49" s="19"/>
      <c r="J49" s="15" t="s">
        <v>28</v>
      </c>
      <c r="K49" s="42" t="s">
        <v>13</v>
      </c>
      <c r="L49" s="21"/>
      <c r="M49" s="22"/>
      <c r="N49" s="22"/>
      <c r="O49" s="41"/>
      <c r="P49" s="23"/>
      <c r="R49" s="12">
        <f>IF($L49="Scheduled",1,"")</f>
      </c>
    </row>
    <row r="50" spans="1:29" ht="12.75">
      <c r="A50" s="28"/>
      <c r="B50" s="14"/>
      <c r="C50" s="37" t="s">
        <v>29</v>
      </c>
      <c r="D50" s="43">
        <f>COUNT(A6:A145)</f>
        <v>22</v>
      </c>
      <c r="E50" s="16"/>
      <c r="F50" s="29"/>
      <c r="G50" s="18"/>
      <c r="H50" s="19"/>
      <c r="I50" s="19"/>
      <c r="J50" s="44">
        <f>SUM(J6:J47)/2</f>
        <v>19.40000000037253</v>
      </c>
      <c r="K50" s="44">
        <f>SUM(K6:K47)/2</f>
        <v>20.15000000037253</v>
      </c>
      <c r="L50" s="21"/>
      <c r="M50" s="22"/>
      <c r="N50" s="22"/>
      <c r="O50" s="41"/>
      <c r="P50" s="23"/>
      <c r="Q50" s="43">
        <f>SUM(Q1:Q47)</f>
        <v>10</v>
      </c>
      <c r="R50" s="43">
        <f>SUM(R1:R47)</f>
        <v>13</v>
      </c>
      <c r="S50" s="43">
        <f>SUM(S1:S47)</f>
        <v>3</v>
      </c>
      <c r="T50" s="43">
        <f>SUM(T1:T47)</f>
        <v>26</v>
      </c>
      <c r="AA50" s="30"/>
      <c r="AB50" s="30"/>
      <c r="AC50" s="30"/>
    </row>
    <row r="51" spans="1:19" ht="12.75">
      <c r="A51" s="28"/>
      <c r="B51" s="14"/>
      <c r="C51" s="37"/>
      <c r="D51" s="15"/>
      <c r="E51" s="16"/>
      <c r="F51" s="29"/>
      <c r="G51" s="18"/>
      <c r="H51" s="19"/>
      <c r="I51" s="19"/>
      <c r="J51" s="15"/>
      <c r="K51" s="20"/>
      <c r="L51" s="21"/>
      <c r="M51" s="22"/>
      <c r="N51" s="22"/>
      <c r="O51" s="21"/>
      <c r="P51" s="23"/>
      <c r="R51" s="45" t="s">
        <v>21</v>
      </c>
      <c r="S51" s="12" t="s">
        <v>30</v>
      </c>
    </row>
    <row r="52" spans="1:26" ht="12.75">
      <c r="A52" s="28"/>
      <c r="B52" s="14"/>
      <c r="C52" s="37" t="s">
        <v>31</v>
      </c>
      <c r="D52" s="15">
        <f>SUM(D6:D47)/2</f>
        <v>1707.5999999996275</v>
      </c>
      <c r="E52" s="46">
        <f>D52/24</f>
        <v>71.14999999998447</v>
      </c>
      <c r="F52" s="47" t="s">
        <v>32</v>
      </c>
      <c r="G52" s="18"/>
      <c r="H52" s="19"/>
      <c r="I52" s="19"/>
      <c r="J52" s="15"/>
      <c r="K52" s="20"/>
      <c r="L52" s="21"/>
      <c r="M52" s="22"/>
      <c r="N52" s="22"/>
      <c r="O52" s="21"/>
      <c r="P52" s="23"/>
      <c r="Q52" s="12">
        <f>IF($O54="Store Lost",1,"")</f>
      </c>
      <c r="T52" s="48"/>
      <c r="U52" s="30"/>
      <c r="V52" s="30"/>
      <c r="W52" s="30"/>
      <c r="X52" s="30"/>
      <c r="Y52" s="30"/>
      <c r="Z52" s="30"/>
    </row>
    <row r="53" spans="1:17" ht="12.75">
      <c r="A53" s="28"/>
      <c r="B53" s="14"/>
      <c r="C53" s="37" t="s">
        <v>33</v>
      </c>
      <c r="D53" s="15">
        <f>J50</f>
        <v>19.40000000037253</v>
      </c>
      <c r="E53" s="16" t="s">
        <v>34</v>
      </c>
      <c r="F53" s="29"/>
      <c r="G53" s="18"/>
      <c r="H53" s="19"/>
      <c r="I53" s="19"/>
      <c r="J53" s="15"/>
      <c r="K53" s="20"/>
      <c r="L53" s="21"/>
      <c r="M53" s="22"/>
      <c r="N53" s="22"/>
      <c r="O53" s="21"/>
      <c r="P53" s="23"/>
      <c r="Q53" s="12">
        <f>IF($O55="Store Lost",1,"")</f>
      </c>
    </row>
    <row r="54" spans="1:17" ht="12.75">
      <c r="A54" s="28"/>
      <c r="B54" s="14"/>
      <c r="C54" s="37" t="s">
        <v>35</v>
      </c>
      <c r="D54" s="43">
        <f>SUM(D52:D53)</f>
        <v>1727</v>
      </c>
      <c r="E54" s="46"/>
      <c r="F54" s="29"/>
      <c r="G54" s="18"/>
      <c r="H54" s="19"/>
      <c r="I54" s="19"/>
      <c r="J54" s="15"/>
      <c r="K54" s="20"/>
      <c r="L54" s="21"/>
      <c r="M54" s="22"/>
      <c r="N54" s="22"/>
      <c r="O54" s="21"/>
      <c r="P54" s="23"/>
      <c r="Q54" s="12">
        <f>IF($O56="Store Lost",1,"")</f>
      </c>
    </row>
    <row r="55" spans="1:18" ht="12.75">
      <c r="A55" s="28"/>
      <c r="B55" s="14"/>
      <c r="C55" s="37"/>
      <c r="D55" s="49"/>
      <c r="E55" s="50"/>
      <c r="F55" s="29"/>
      <c r="G55" s="18"/>
      <c r="H55" s="15"/>
      <c r="I55" s="19"/>
      <c r="J55" s="15"/>
      <c r="K55" s="20"/>
      <c r="L55" s="21"/>
      <c r="M55" s="22"/>
      <c r="N55" s="22"/>
      <c r="O55" s="21"/>
      <c r="P55" s="23"/>
      <c r="Q55" s="51">
        <f>Q50+R50</f>
        <v>23</v>
      </c>
      <c r="R55" s="12">
        <f>IF($P57="Store Lost",1,"")</f>
      </c>
    </row>
    <row r="56" spans="1:20" ht="12.75">
      <c r="A56" s="28"/>
      <c r="B56" s="14"/>
      <c r="C56" s="37"/>
      <c r="D56" s="49"/>
      <c r="E56" s="16"/>
      <c r="F56" s="29"/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23"/>
      <c r="R56" s="12">
        <f>IF($P58="Store Lost",1,"")</f>
      </c>
      <c r="S56" s="30"/>
      <c r="T56" s="30"/>
    </row>
    <row r="57" spans="1:18" ht="12.75">
      <c r="A57" s="28"/>
      <c r="B57" s="14"/>
      <c r="C57" s="37" t="s">
        <v>36</v>
      </c>
      <c r="D57" s="52">
        <f>IF(D48,D52/D48,D52)</f>
        <v>170.75999999996276</v>
      </c>
      <c r="E57" s="16"/>
      <c r="F57" s="29"/>
      <c r="G57" s="18"/>
      <c r="J57" s="7"/>
      <c r="K57" s="53"/>
      <c r="Q57" s="23"/>
      <c r="R57" s="12">
        <f>IF($P59="Store Lost",1,"")</f>
      </c>
    </row>
    <row r="58" spans="1:18" ht="12.75">
      <c r="A58" s="28"/>
      <c r="B58" s="14"/>
      <c r="C58" s="37" t="s">
        <v>37</v>
      </c>
      <c r="D58" s="49">
        <f>IF(D48,24/D57,0)</f>
        <v>0.14054813773720565</v>
      </c>
      <c r="E58" s="54"/>
      <c r="F58" s="55"/>
      <c r="G58" s="56"/>
      <c r="K58" s="53"/>
      <c r="Q58" s="23"/>
      <c r="R58" s="12" t="e">
        <f>NA()</f>
        <v>#N/A</v>
      </c>
    </row>
    <row r="59" spans="1:18" ht="12.75">
      <c r="A59" s="28"/>
      <c r="B59" s="14"/>
      <c r="C59" s="37" t="s">
        <v>38</v>
      </c>
      <c r="D59" s="163">
        <f>D52/D54</f>
        <v>0.9887666473651577</v>
      </c>
      <c r="E59" s="57"/>
      <c r="F59" s="29"/>
      <c r="G59" s="18"/>
      <c r="K59" s="53"/>
      <c r="Q59" s="23"/>
      <c r="R59" s="12" t="e">
        <f>NA()</f>
        <v>#N/A</v>
      </c>
    </row>
    <row r="60" spans="1:29" s="58" customFormat="1" ht="12.75">
      <c r="A60" s="28"/>
      <c r="B60" s="14"/>
      <c r="C60" s="14"/>
      <c r="D60" s="15"/>
      <c r="E60" s="16"/>
      <c r="F60" s="29"/>
      <c r="G60" s="18"/>
      <c r="H60" s="7"/>
      <c r="I60" s="7"/>
      <c r="J60" s="3"/>
      <c r="K60" s="53"/>
      <c r="L60" s="9"/>
      <c r="M60" s="10"/>
      <c r="N60" s="10"/>
      <c r="O60" s="9"/>
      <c r="P60" s="11"/>
      <c r="Q60" s="23"/>
      <c r="R60" s="12">
        <f aca="true" t="shared" si="8" ref="R60:R68">IF($P62="Store Lost",1,"")</f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8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8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8"/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t="shared" si="8"/>
      </c>
    </row>
    <row r="65" spans="1:18" ht="12.75">
      <c r="A65" s="28"/>
      <c r="B65" s="14"/>
      <c r="C65" s="14"/>
      <c r="D65" s="15"/>
      <c r="E65" s="16"/>
      <c r="F65" s="29"/>
      <c r="G65" s="18"/>
      <c r="K65" s="53"/>
      <c r="Q65" s="23"/>
      <c r="R65" s="12">
        <f t="shared" si="8"/>
      </c>
    </row>
    <row r="66" spans="1:18" ht="12.75">
      <c r="A66" s="28"/>
      <c r="B66" s="14"/>
      <c r="C66" s="14"/>
      <c r="D66" s="15"/>
      <c r="E66" s="16"/>
      <c r="F66" s="29"/>
      <c r="G66" s="18"/>
      <c r="K66" s="53"/>
      <c r="Q66" s="23"/>
      <c r="R66" s="12">
        <f t="shared" si="8"/>
      </c>
    </row>
    <row r="67" spans="1:18" ht="12.75">
      <c r="A67" s="28"/>
      <c r="B67" s="14"/>
      <c r="C67" s="14"/>
      <c r="D67" s="15"/>
      <c r="E67" s="16"/>
      <c r="F67" s="29"/>
      <c r="G67" s="18"/>
      <c r="K67" s="53"/>
      <c r="Q67" s="23"/>
      <c r="R67" s="12">
        <f t="shared" si="8"/>
      </c>
    </row>
    <row r="68" spans="1:18" ht="12.75">
      <c r="A68" s="28"/>
      <c r="B68" s="14"/>
      <c r="C68" s="14"/>
      <c r="D68" s="15"/>
      <c r="E68" s="16"/>
      <c r="F68" s="29"/>
      <c r="G68" s="18"/>
      <c r="K68" s="53"/>
      <c r="Q68" s="23"/>
      <c r="R68" s="12">
        <f t="shared" si="8"/>
      </c>
    </row>
    <row r="69" spans="1:29" s="59" customFormat="1" ht="12.75">
      <c r="A69" s="28"/>
      <c r="B69" s="14"/>
      <c r="C69" s="14"/>
      <c r="D69" s="15"/>
      <c r="E69" s="16"/>
      <c r="F69" s="29"/>
      <c r="G69" s="18"/>
      <c r="H69" s="7"/>
      <c r="I69" s="7"/>
      <c r="J69" s="3"/>
      <c r="K69" s="53"/>
      <c r="L69" s="9"/>
      <c r="M69" s="10"/>
      <c r="N69" s="10"/>
      <c r="O69" s="9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30" customFormat="1" ht="12.75">
      <c r="A70" s="28"/>
      <c r="B70" s="14"/>
      <c r="C70" s="14"/>
      <c r="D70" s="15"/>
      <c r="E70" s="16"/>
      <c r="F70" s="29"/>
      <c r="G70" s="18"/>
      <c r="H70" s="7"/>
      <c r="I70" s="7"/>
      <c r="J70" s="3"/>
      <c r="K70" s="53"/>
      <c r="L70" s="9"/>
      <c r="M70" s="10"/>
      <c r="N70" s="10"/>
      <c r="O70" s="9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8"/>
      <c r="AB70" s="58"/>
      <c r="AC70" s="58"/>
    </row>
    <row r="71" spans="1:16" ht="12.75">
      <c r="A71" s="28"/>
      <c r="B71" s="14"/>
      <c r="C71" s="14"/>
      <c r="D71" s="15"/>
      <c r="E71" s="16"/>
      <c r="F71" s="29"/>
      <c r="G71" s="18"/>
      <c r="H71" s="19"/>
      <c r="I71" s="19"/>
      <c r="J71" s="15"/>
      <c r="K71" s="20"/>
      <c r="L71" s="21"/>
      <c r="M71" s="22"/>
      <c r="N71" s="22"/>
      <c r="O71" s="21"/>
      <c r="P71" s="23"/>
    </row>
    <row r="72" spans="1:26" ht="12.75">
      <c r="A72" s="28"/>
      <c r="B72" s="14"/>
      <c r="C72" s="14"/>
      <c r="E72" s="16"/>
      <c r="F72" s="29"/>
      <c r="G72" s="18"/>
      <c r="H72" s="19"/>
      <c r="I72" s="19"/>
      <c r="L72" s="21"/>
      <c r="M72" s="22"/>
      <c r="N72" s="22"/>
      <c r="O72" s="21"/>
      <c r="P72" s="23"/>
      <c r="U72" s="58"/>
      <c r="V72" s="58"/>
      <c r="W72" s="58"/>
      <c r="X72" s="58"/>
      <c r="Y72" s="58"/>
      <c r="Z72" s="58"/>
    </row>
    <row r="73" spans="1:16" ht="12.75">
      <c r="A73" s="28"/>
      <c r="B73" s="14"/>
      <c r="C73" s="14"/>
      <c r="E73" s="16"/>
      <c r="F73" s="29"/>
      <c r="G73" s="18"/>
      <c r="H73" s="19"/>
      <c r="I73" s="19"/>
      <c r="L73" s="21"/>
      <c r="M73" s="22"/>
      <c r="N73" s="22"/>
      <c r="O73" s="21"/>
      <c r="P73" s="23"/>
    </row>
    <row r="74" spans="1:16" ht="12.75">
      <c r="A74" s="28"/>
      <c r="B74" s="14"/>
      <c r="C74" s="14"/>
      <c r="E74" s="16"/>
      <c r="F74" s="29"/>
      <c r="G74" s="18"/>
      <c r="H74" s="19"/>
      <c r="I74" s="19"/>
      <c r="L74" s="21"/>
      <c r="M74" s="22"/>
      <c r="N74" s="22"/>
      <c r="O74" s="21"/>
      <c r="P74" s="23"/>
    </row>
    <row r="75" spans="1:16" ht="12.75">
      <c r="A75" s="28"/>
      <c r="B75" s="14"/>
      <c r="C75" s="14"/>
      <c r="F75" s="29"/>
      <c r="G75" s="18"/>
      <c r="H75" s="19"/>
      <c r="I75" s="19"/>
      <c r="L75" s="21"/>
      <c r="M75" s="22"/>
      <c r="N75" s="22"/>
      <c r="O75" s="21"/>
      <c r="P75" s="23"/>
    </row>
    <row r="76" spans="1:20" ht="12.75">
      <c r="A76" s="28"/>
      <c r="B76" s="14"/>
      <c r="C76" s="14"/>
      <c r="F76" s="29"/>
      <c r="G76" s="18"/>
      <c r="H76" s="19"/>
      <c r="I76" s="19"/>
      <c r="L76" s="21"/>
      <c r="M76" s="22"/>
      <c r="N76" s="22"/>
      <c r="O76" s="21"/>
      <c r="P76" s="23"/>
      <c r="R76" s="58"/>
      <c r="S76" s="58"/>
      <c r="T76" s="58"/>
    </row>
    <row r="77" spans="2:16" ht="12.75">
      <c r="B77" s="14"/>
      <c r="C77" s="14"/>
      <c r="F77" s="29"/>
      <c r="G77" s="18"/>
      <c r="H77" s="19"/>
      <c r="I77" s="19"/>
      <c r="L77" s="21"/>
      <c r="M77" s="22"/>
      <c r="N77" s="22"/>
      <c r="O77" s="21"/>
      <c r="P77" s="23"/>
    </row>
    <row r="78" spans="2:17" ht="12.75">
      <c r="B78" s="14"/>
      <c r="C78" s="14"/>
      <c r="F78" s="29"/>
      <c r="G78" s="18"/>
      <c r="H78" s="19"/>
      <c r="I78" s="19"/>
      <c r="L78" s="21"/>
      <c r="M78" s="22"/>
      <c r="N78" s="22"/>
      <c r="O78" s="21"/>
      <c r="P78" s="23"/>
      <c r="Q78" s="12">
        <f aca="true" t="shared" si="9" ref="Q78:Q109">IF($O80="Store Lost",1,"")</f>
      </c>
    </row>
    <row r="79" spans="2:29" ht="12.75">
      <c r="B79" s="14"/>
      <c r="C79" s="14"/>
      <c r="F79" s="29"/>
      <c r="G79" s="18"/>
      <c r="H79" s="19"/>
      <c r="I79" s="19"/>
      <c r="L79" s="21"/>
      <c r="M79" s="22"/>
      <c r="N79" s="22"/>
      <c r="O79" s="21"/>
      <c r="P79" s="23"/>
      <c r="Q79" s="12">
        <f t="shared" si="9"/>
      </c>
      <c r="AA79" s="59"/>
      <c r="AB79" s="59"/>
      <c r="AC79" s="59"/>
    </row>
    <row r="80" spans="2:29" ht="12.75">
      <c r="B80" s="14"/>
      <c r="C80" s="14"/>
      <c r="Q80" s="12">
        <f t="shared" si="9"/>
      </c>
      <c r="AA80" s="30"/>
      <c r="AB80" s="30"/>
      <c r="AC80" s="30"/>
    </row>
    <row r="81" spans="17:26" ht="12.75">
      <c r="Q81" s="12">
        <f t="shared" si="9"/>
      </c>
      <c r="U81" s="59"/>
      <c r="V81" s="59"/>
      <c r="W81" s="59"/>
      <c r="X81" s="59"/>
      <c r="Y81" s="59"/>
      <c r="Z81" s="59"/>
    </row>
    <row r="82" spans="17:26" ht="12.75">
      <c r="Q82" s="12">
        <f t="shared" si="9"/>
      </c>
      <c r="U82" s="30"/>
      <c r="V82" s="30"/>
      <c r="W82" s="30"/>
      <c r="X82" s="30"/>
      <c r="Y82" s="30"/>
      <c r="Z82" s="30"/>
    </row>
    <row r="83" spans="1:29" s="58" customFormat="1" ht="12.75">
      <c r="A83" s="1"/>
      <c r="B83" s="2"/>
      <c r="C83" s="2"/>
      <c r="D83" s="3"/>
      <c r="E83" s="4"/>
      <c r="F83" s="5"/>
      <c r="G83" s="6"/>
      <c r="H83" s="7"/>
      <c r="I83" s="7"/>
      <c r="J83" s="3"/>
      <c r="K83" s="8"/>
      <c r="L83" s="9"/>
      <c r="M83" s="10"/>
      <c r="N83" s="10"/>
      <c r="O83" s="9"/>
      <c r="P83" s="11"/>
      <c r="Q83" s="12">
        <f t="shared" si="9"/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ht="12.75">
      <c r="Q84" s="12">
        <f t="shared" si="9"/>
      </c>
    </row>
    <row r="85" spans="17:20" ht="12.75">
      <c r="Q85" s="12">
        <f t="shared" si="9"/>
      </c>
      <c r="R85" s="59"/>
      <c r="S85" s="59"/>
      <c r="T85" s="59"/>
    </row>
    <row r="86" spans="17:20" ht="12.75">
      <c r="Q86" s="12">
        <f t="shared" si="9"/>
      </c>
      <c r="R86" s="30"/>
      <c r="S86" s="30"/>
      <c r="T86" s="30"/>
    </row>
    <row r="87" ht="12.75">
      <c r="Q87" s="12">
        <f t="shared" si="9"/>
      </c>
    </row>
    <row r="88" ht="12.75">
      <c r="Q88" s="12">
        <f t="shared" si="9"/>
      </c>
    </row>
    <row r="89" ht="12.75">
      <c r="Q89" s="12">
        <f t="shared" si="9"/>
      </c>
    </row>
    <row r="90" ht="12.75">
      <c r="Q90" s="12">
        <f t="shared" si="9"/>
      </c>
    </row>
    <row r="91" ht="12.75">
      <c r="Q91" s="12">
        <f t="shared" si="9"/>
      </c>
    </row>
    <row r="92" ht="12.75">
      <c r="Q92" s="12">
        <f t="shared" si="9"/>
      </c>
    </row>
    <row r="93" spans="17:29" ht="12.75">
      <c r="Q93" s="12">
        <f t="shared" si="9"/>
      </c>
      <c r="AA93" s="58"/>
      <c r="AB93" s="58"/>
      <c r="AC93" s="58"/>
    </row>
    <row r="94" ht="12.75">
      <c r="Q94" s="12">
        <f t="shared" si="9"/>
      </c>
    </row>
    <row r="95" spans="17:26" ht="12.75">
      <c r="Q95" s="12">
        <f t="shared" si="9"/>
      </c>
      <c r="U95" s="58"/>
      <c r="V95" s="58"/>
      <c r="W95" s="58"/>
      <c r="X95" s="58"/>
      <c r="Y95" s="58"/>
      <c r="Z95" s="58"/>
    </row>
    <row r="96" spans="1:29" s="58" customFormat="1" ht="12.75">
      <c r="A96" s="1"/>
      <c r="B96" s="2"/>
      <c r="C96" s="2"/>
      <c r="D96" s="3"/>
      <c r="E96" s="4"/>
      <c r="F96" s="5"/>
      <c r="G96" s="6"/>
      <c r="H96" s="7"/>
      <c r="I96" s="7"/>
      <c r="J96" s="3"/>
      <c r="K96" s="8"/>
      <c r="L96" s="9"/>
      <c r="M96" s="10"/>
      <c r="N96" s="10"/>
      <c r="O96" s="9"/>
      <c r="P96" s="11"/>
      <c r="Q96" s="12">
        <f t="shared" si="9"/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s="30" customFormat="1" ht="12.75">
      <c r="A97" s="1"/>
      <c r="B97" s="2"/>
      <c r="C97" s="2"/>
      <c r="D97" s="3"/>
      <c r="E97" s="4"/>
      <c r="F97" s="5"/>
      <c r="G97" s="6"/>
      <c r="H97" s="7"/>
      <c r="I97" s="7"/>
      <c r="J97" s="3"/>
      <c r="K97" s="8"/>
      <c r="L97" s="9"/>
      <c r="M97" s="10"/>
      <c r="N97" s="10"/>
      <c r="O97" s="9"/>
      <c r="P97" s="11"/>
      <c r="Q97" s="12">
        <f t="shared" si="9"/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s="58" customFormat="1" ht="12.75">
      <c r="A98" s="1"/>
      <c r="B98" s="2"/>
      <c r="C98" s="2"/>
      <c r="D98" s="3"/>
      <c r="E98" s="4"/>
      <c r="F98" s="5"/>
      <c r="G98" s="6"/>
      <c r="H98" s="7"/>
      <c r="I98" s="7"/>
      <c r="J98" s="3"/>
      <c r="K98" s="8"/>
      <c r="L98" s="9"/>
      <c r="M98" s="10"/>
      <c r="N98" s="10"/>
      <c r="O98" s="9"/>
      <c r="P98" s="11"/>
      <c r="Q98" s="12">
        <f t="shared" si="9"/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7:20" ht="12.75">
      <c r="Q99" s="12">
        <f t="shared" si="9"/>
      </c>
      <c r="R99" s="58"/>
      <c r="S99" s="58"/>
      <c r="T99" s="58"/>
    </row>
    <row r="100" ht="12.75">
      <c r="Q100" s="12">
        <f t="shared" si="9"/>
      </c>
    </row>
    <row r="101" ht="12.75">
      <c r="Q101" s="12">
        <f t="shared" si="9"/>
      </c>
    </row>
    <row r="102" ht="12.75">
      <c r="Q102" s="12">
        <f t="shared" si="9"/>
      </c>
    </row>
    <row r="103" ht="12.75">
      <c r="Q103" s="12">
        <f t="shared" si="9"/>
      </c>
    </row>
    <row r="104" ht="12.75">
      <c r="Q104" s="12">
        <f t="shared" si="9"/>
      </c>
    </row>
    <row r="105" ht="12.75">
      <c r="Q105" s="12">
        <f t="shared" si="9"/>
      </c>
    </row>
    <row r="106" spans="17:29" ht="12.75">
      <c r="Q106" s="12">
        <f t="shared" si="9"/>
      </c>
      <c r="AA106" s="58"/>
      <c r="AB106" s="58"/>
      <c r="AC106" s="58"/>
    </row>
    <row r="107" spans="17:29" ht="12.75">
      <c r="Q107" s="12">
        <f t="shared" si="9"/>
      </c>
      <c r="AA107" s="30"/>
      <c r="AB107" s="30"/>
      <c r="AC107" s="30"/>
    </row>
    <row r="108" spans="17:29" ht="12.75">
      <c r="Q108" s="12">
        <f t="shared" si="9"/>
      </c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7:26" ht="12.75">
      <c r="Q109" s="12">
        <f t="shared" si="9"/>
      </c>
      <c r="U109" s="30"/>
      <c r="V109" s="30"/>
      <c r="W109" s="30"/>
      <c r="X109" s="30"/>
      <c r="Y109" s="30"/>
      <c r="Z109" s="30"/>
    </row>
    <row r="110" spans="17:26" ht="12.75">
      <c r="Q110" s="12">
        <f aca="true" t="shared" si="10" ref="Q110:Q135">IF($O112="Store Lost",1,"")</f>
      </c>
      <c r="U110" s="58"/>
      <c r="V110" s="58"/>
      <c r="W110" s="58"/>
      <c r="X110" s="58"/>
      <c r="Y110" s="58"/>
      <c r="Z110" s="58"/>
    </row>
    <row r="111" ht="12.75">
      <c r="Q111" s="12">
        <f t="shared" si="10"/>
      </c>
    </row>
    <row r="112" spans="17:20" ht="12.75">
      <c r="Q112" s="12">
        <f t="shared" si="10"/>
      </c>
      <c r="R112" s="58"/>
      <c r="S112" s="58"/>
      <c r="T112" s="58"/>
    </row>
    <row r="113" spans="17:20" ht="12.75">
      <c r="Q113" s="12">
        <f t="shared" si="10"/>
      </c>
      <c r="R113" s="30"/>
      <c r="S113" s="30"/>
      <c r="T113" s="30"/>
    </row>
    <row r="114" spans="17:20" ht="12.75">
      <c r="Q114" s="12">
        <f t="shared" si="10"/>
      </c>
      <c r="R114" s="58"/>
      <c r="S114" s="58"/>
      <c r="T114" s="58"/>
    </row>
    <row r="115" ht="12.75">
      <c r="Q115" s="12">
        <f t="shared" si="10"/>
      </c>
    </row>
    <row r="116" ht="12.75">
      <c r="Q116" s="12">
        <f t="shared" si="10"/>
      </c>
    </row>
    <row r="117" ht="12.75">
      <c r="Q117" s="12">
        <f t="shared" si="10"/>
      </c>
    </row>
    <row r="118" ht="12.75">
      <c r="Q118" s="12">
        <f t="shared" si="10"/>
      </c>
    </row>
    <row r="119" spans="1:29" s="58" customFormat="1" ht="12.75">
      <c r="A119" s="1"/>
      <c r="B119" s="2"/>
      <c r="C119" s="2"/>
      <c r="D119" s="3"/>
      <c r="E119" s="4"/>
      <c r="F119" s="5"/>
      <c r="G119" s="6"/>
      <c r="H119" s="7"/>
      <c r="I119" s="7"/>
      <c r="J119" s="3"/>
      <c r="K119" s="8"/>
      <c r="L119" s="9"/>
      <c r="M119" s="10"/>
      <c r="N119" s="10"/>
      <c r="O119" s="9"/>
      <c r="P119" s="11"/>
      <c r="Q119" s="12">
        <f t="shared" si="10"/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ht="12.75">
      <c r="Q120" s="12">
        <f t="shared" si="10"/>
      </c>
    </row>
    <row r="121" ht="12.75">
      <c r="Q121" s="12">
        <f t="shared" si="10"/>
      </c>
    </row>
    <row r="122" ht="12.75">
      <c r="Q122" s="12">
        <f t="shared" si="10"/>
      </c>
    </row>
    <row r="123" ht="12.75">
      <c r="Q123" s="12">
        <f t="shared" si="10"/>
      </c>
    </row>
    <row r="124" ht="12.75">
      <c r="Q124" s="12">
        <f t="shared" si="10"/>
      </c>
    </row>
    <row r="125" ht="12.75">
      <c r="Q125" s="12">
        <f t="shared" si="10"/>
      </c>
    </row>
    <row r="126" ht="12.75">
      <c r="Q126" s="12">
        <f t="shared" si="10"/>
      </c>
    </row>
    <row r="127" ht="12.75">
      <c r="Q127" s="12">
        <f t="shared" si="10"/>
      </c>
    </row>
    <row r="128" ht="12.75">
      <c r="Q128" s="12">
        <f t="shared" si="10"/>
      </c>
    </row>
    <row r="129" spans="17:29" ht="12.75">
      <c r="Q129" s="12">
        <f t="shared" si="10"/>
      </c>
      <c r="AA129" s="58"/>
      <c r="AB129" s="58"/>
      <c r="AC129" s="58"/>
    </row>
    <row r="130" ht="12.75">
      <c r="Q130" s="12">
        <f t="shared" si="10"/>
      </c>
    </row>
    <row r="131" spans="17:26" ht="12.75">
      <c r="Q131" s="12">
        <f t="shared" si="10"/>
      </c>
      <c r="U131" s="58"/>
      <c r="V131" s="58"/>
      <c r="W131" s="58"/>
      <c r="X131" s="58"/>
      <c r="Y131" s="58"/>
      <c r="Z131" s="58"/>
    </row>
    <row r="132" ht="12.75">
      <c r="Q132" s="12">
        <f t="shared" si="10"/>
      </c>
    </row>
    <row r="133" ht="12.75">
      <c r="Q133" s="12">
        <f t="shared" si="10"/>
      </c>
    </row>
    <row r="134" ht="12.75">
      <c r="Q134" s="12">
        <f t="shared" si="10"/>
      </c>
    </row>
    <row r="135" spans="17:20" ht="12.75">
      <c r="Q135" s="12">
        <f t="shared" si="10"/>
      </c>
      <c r="R135" s="58"/>
      <c r="S135" s="58"/>
      <c r="T135" s="58"/>
    </row>
    <row r="139" ht="12.75">
      <c r="Q139" s="12">
        <f>COUNT(Q6:Q135)</f>
        <v>12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21.28125" style="0" customWidth="1"/>
    <col min="2" max="8" width="13.8515625" style="0" customWidth="1"/>
    <col min="9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9" ht="12.75">
      <c r="A3" s="82"/>
      <c r="B3" s="105" t="s">
        <v>14</v>
      </c>
      <c r="C3" s="104"/>
      <c r="D3" s="104"/>
      <c r="E3" s="104"/>
      <c r="F3" s="104"/>
      <c r="G3" s="104"/>
      <c r="H3" s="104"/>
      <c r="I3" s="106"/>
    </row>
    <row r="4" spans="1:9" ht="12.75">
      <c r="A4" s="105" t="s">
        <v>39</v>
      </c>
      <c r="B4" s="82" t="s">
        <v>22</v>
      </c>
      <c r="C4" s="107" t="s">
        <v>23</v>
      </c>
      <c r="D4" s="107" t="s">
        <v>66</v>
      </c>
      <c r="E4" s="107" t="s">
        <v>69</v>
      </c>
      <c r="F4" s="107" t="s">
        <v>72</v>
      </c>
      <c r="G4" s="107" t="s">
        <v>75</v>
      </c>
      <c r="H4" s="107" t="s">
        <v>80</v>
      </c>
      <c r="I4" s="108" t="s">
        <v>59</v>
      </c>
    </row>
    <row r="5" spans="1:9" ht="12.75">
      <c r="A5" s="82" t="s">
        <v>40</v>
      </c>
      <c r="B5" s="109">
        <v>0</v>
      </c>
      <c r="C5" s="110">
        <v>0</v>
      </c>
      <c r="D5" s="110">
        <v>1</v>
      </c>
      <c r="E5" s="110">
        <v>0</v>
      </c>
      <c r="F5" s="110">
        <v>0</v>
      </c>
      <c r="G5" s="110">
        <v>0</v>
      </c>
      <c r="H5" s="110">
        <v>0</v>
      </c>
      <c r="I5" s="111">
        <v>1</v>
      </c>
    </row>
    <row r="6" spans="1:9" ht="12.75">
      <c r="A6" s="113" t="s">
        <v>41</v>
      </c>
      <c r="B6" s="114">
        <v>1</v>
      </c>
      <c r="C6" s="73">
        <v>2</v>
      </c>
      <c r="D6" s="73">
        <v>0</v>
      </c>
      <c r="E6" s="73">
        <v>2</v>
      </c>
      <c r="F6" s="73">
        <v>2</v>
      </c>
      <c r="G6" s="73">
        <v>2</v>
      </c>
      <c r="H6" s="73">
        <v>1</v>
      </c>
      <c r="I6" s="115">
        <v>10</v>
      </c>
    </row>
    <row r="7" spans="1:9" ht="12.75">
      <c r="A7" s="120" t="s">
        <v>65</v>
      </c>
      <c r="B7" s="162">
        <v>1.3500000000349246</v>
      </c>
      <c r="C7" s="121">
        <v>5.2999999998137355</v>
      </c>
      <c r="D7" s="148">
        <v>1.3666666667559184</v>
      </c>
      <c r="E7" s="148">
        <v>2.700000000069849</v>
      </c>
      <c r="F7" s="148">
        <v>3.366666666814126</v>
      </c>
      <c r="G7" s="148">
        <v>1.4833333334536292</v>
      </c>
      <c r="H7" s="148">
        <v>3.833333333430346</v>
      </c>
      <c r="I7" s="122">
        <v>19.40000000037253</v>
      </c>
    </row>
    <row r="13" spans="2:20" ht="12.75">
      <c r="B13" s="60" t="s">
        <v>23</v>
      </c>
      <c r="C13" s="61" t="s">
        <v>44</v>
      </c>
      <c r="D13" s="61" t="s">
        <v>22</v>
      </c>
      <c r="E13" s="61" t="s">
        <v>45</v>
      </c>
      <c r="F13" s="61" t="s">
        <v>46</v>
      </c>
      <c r="G13" s="61" t="s">
        <v>47</v>
      </c>
      <c r="H13" s="61" t="s">
        <v>48</v>
      </c>
      <c r="I13" s="61" t="s">
        <v>49</v>
      </c>
      <c r="J13" s="61" t="s">
        <v>50</v>
      </c>
      <c r="K13" s="61" t="s">
        <v>51</v>
      </c>
      <c r="L13" s="61" t="s">
        <v>52</v>
      </c>
      <c r="M13" s="61" t="s">
        <v>53</v>
      </c>
      <c r="N13" s="61" t="s">
        <v>54</v>
      </c>
      <c r="O13" s="61" t="s">
        <v>55</v>
      </c>
      <c r="P13" s="61" t="s">
        <v>56</v>
      </c>
      <c r="Q13" s="62" t="s">
        <v>57</v>
      </c>
      <c r="R13" s="63" t="s">
        <v>58</v>
      </c>
      <c r="S13" s="63" t="s">
        <v>59</v>
      </c>
      <c r="T13" s="64" t="s">
        <v>60</v>
      </c>
    </row>
    <row r="14" spans="1:20" s="68" customFormat="1" ht="12.75">
      <c r="A14" s="164" t="s">
        <v>90</v>
      </c>
      <c r="B14" s="66">
        <f>IF(B16,SUM(B16/B25),"")</f>
        <v>0.0030689056165684628</v>
      </c>
      <c r="C14" s="66">
        <f>IF(C16,SUM(C16/B25),"")</f>
      </c>
      <c r="D14" s="66">
        <f>IF(D16,SUM(D16/B25),"")</f>
        <v>0.0007817023740792847</v>
      </c>
      <c r="E14" s="66">
        <f>IF(E16,SUM(E16/B25),"")</f>
        <v>0.0019494306119363788</v>
      </c>
      <c r="F14" s="66">
        <f>IF(F16,SUM(F16/B25),"")</f>
      </c>
      <c r="G14" s="66">
        <f>IF(G16,SUM(G16/B25),0)</f>
        <v>0.0008589075468752919</v>
      </c>
      <c r="H14" s="66">
        <f>IF(H16,SUM(H16/B25),"")</f>
      </c>
      <c r="I14" s="66">
        <f>IF(I16,SUM(I16/B25),"")</f>
      </c>
      <c r="J14" s="66">
        <f>IF(J16,SUM(J16/B25),"")</f>
        <v>0.000791353020704064</v>
      </c>
      <c r="K14" s="66">
        <f>IF(K16,SUM(K16/B25),"")</f>
      </c>
      <c r="L14" s="66">
        <f>IF(L16,SUM(L16/B25),"")</f>
      </c>
      <c r="M14" s="66">
        <f>IF(M16,SUM(M16/B25),"")</f>
        <v>0.0022196487165201772</v>
      </c>
      <c r="N14" s="66">
        <f>IF(N16,SUM(N16/B25),"")</f>
      </c>
      <c r="O14" s="66">
        <f>IF(O16,SUM(O16/B25),"")</f>
      </c>
      <c r="P14" s="66">
        <f>IF(P16,SUM(P16/B25),"")</f>
        <v>0.0015634047481585694</v>
      </c>
      <c r="Q14" s="66">
        <f>IF(Q16,SUM(Q16/B25),"")</f>
      </c>
      <c r="R14" s="66">
        <f>IF(R16,SUM(R16/B25),"")</f>
      </c>
      <c r="S14" s="66">
        <f>IF(S16,SUM(S16/B25),"")</f>
        <v>0.01123335263484223</v>
      </c>
      <c r="T14" s="67">
        <f>IF(T16,SUM(T16/M13),"")</f>
      </c>
    </row>
    <row r="15" spans="1:20" ht="12.75">
      <c r="A15" s="65" t="s">
        <v>61</v>
      </c>
      <c r="B15" s="69">
        <f>'[1]reliabilitySummary'!$B$7</f>
        <v>0.0054</v>
      </c>
      <c r="C15" s="69">
        <f>'[1]reliabilitySummary'!$B$8</f>
        <v>0.0012000000000000001</v>
      </c>
      <c r="D15" s="69">
        <f>'[1]reliabilitySummary'!$B$9</f>
        <v>0.0054</v>
      </c>
      <c r="E15" s="69">
        <f>'[1]reliabilitySummary'!$B$10</f>
        <v>0.003</v>
      </c>
      <c r="F15" s="69">
        <v>0.0028</v>
      </c>
      <c r="G15" s="69">
        <v>0.0028</v>
      </c>
      <c r="H15" s="69">
        <v>0.0028</v>
      </c>
      <c r="I15" s="69">
        <f>'[1]reliabilitySummary'!$B$16</f>
        <v>0.0036000000000000003</v>
      </c>
      <c r="J15" s="69">
        <f>'[1]reliabilitySummary'!$B$18</f>
        <v>0.0012000000000000001</v>
      </c>
      <c r="K15" s="69">
        <f>'[1]reliabilitySummary'!$B$19</f>
        <v>0</v>
      </c>
      <c r="L15" s="69">
        <f>'[1]reliabilitySummary'!$B$20</f>
        <v>0.0006000000000000001</v>
      </c>
      <c r="M15" s="69">
        <f>'[1]reliabilitySummary'!$B$24</f>
        <v>0.0006000000000000001</v>
      </c>
      <c r="N15" s="69">
        <f>'[1]reliabilitySummary'!$B$25</f>
        <v>0.0018000000000000002</v>
      </c>
      <c r="O15" s="69">
        <f>'[1]reliabilitySummary'!$B$26</f>
        <v>0.0006000000000000001</v>
      </c>
      <c r="P15" s="69">
        <f>'[1]reliabilitySummary'!$B$27</f>
        <v>0.0018000000000000002</v>
      </c>
      <c r="Q15" s="69">
        <f>'[1]reliabilitySummary'!$B$11</f>
        <v>0.0012000000000000001</v>
      </c>
      <c r="R15" s="69">
        <f>'[1]reliabilitySummary'!$B$28</f>
        <v>0.0006000000000000001</v>
      </c>
      <c r="S15" s="69">
        <v>0.03</v>
      </c>
      <c r="T15" s="70"/>
    </row>
    <row r="16" spans="1:20" s="68" customFormat="1" ht="12.75">
      <c r="A16" s="65" t="s">
        <v>62</v>
      </c>
      <c r="B16" s="67">
        <f>GETPIVOTDATA("Sum of System
Length",$A$3,"Group","Rf")</f>
        <v>5.2999999998137355</v>
      </c>
      <c r="C16" s="67"/>
      <c r="D16" s="67">
        <f>GETPIVOTDATA("Sum of System
Length",$A$3,"Group","PS")</f>
        <v>1.3500000000349246</v>
      </c>
      <c r="E16" s="67">
        <f>GETPIVOTDATA("Sum of System
Length",$A$3,"Group","CTL")</f>
        <v>3.366666666814126</v>
      </c>
      <c r="F16" s="67"/>
      <c r="G16" s="67">
        <f>GETPIVOTDATA("Sum of System
Length",$A$3,"Group","SI")</f>
        <v>1.4833333334536292</v>
      </c>
      <c r="H16" s="67"/>
      <c r="I16" s="67"/>
      <c r="J16" s="67">
        <f>GETPIVOTDATA("Sum of System
Length",$A$3,"Group","AOP")</f>
        <v>1.3666666667559184</v>
      </c>
      <c r="K16" s="67"/>
      <c r="L16" s="67"/>
      <c r="M16" s="67">
        <f>GETPIVOTDATA("Sum of System
Length",$A$3,"Group","SO")</f>
        <v>3.833333333430346</v>
      </c>
      <c r="N16" s="67"/>
      <c r="O16" s="67"/>
      <c r="P16" s="67">
        <f>GETPIVOTDATA("Sum of System
Length",$A$3,"Group","OTH")</f>
        <v>2.700000000069849</v>
      </c>
      <c r="Q16" s="67"/>
      <c r="R16" s="67"/>
      <c r="S16" s="71">
        <f>'Main Data'!J50</f>
        <v>19.40000000037253</v>
      </c>
      <c r="T16" s="72"/>
    </row>
    <row r="17" spans="1:19" ht="12.75">
      <c r="A17" s="74" t="s">
        <v>63</v>
      </c>
      <c r="B17">
        <f>GETPIVOTDATA("Sum - Store Lost",$A$3,"Group","Rf")</f>
        <v>2</v>
      </c>
      <c r="D17">
        <f>GETPIVOTDATA("Sum - Store Lost",$A$3,"Group","PS")</f>
        <v>1</v>
      </c>
      <c r="E17">
        <f>GETPIVOTDATA("Sum - Store Lost",$A$3,"Group","CTL")</f>
        <v>2</v>
      </c>
      <c r="G17">
        <f>GETPIVOTDATA("Sum - Store Lost",$A$3,"Group","SI")</f>
        <v>2</v>
      </c>
      <c r="J17">
        <f>GETPIVOTDATA("Sum - Store Lost",$A$3,"Group","AOP")</f>
        <v>0</v>
      </c>
      <c r="M17">
        <f>GETPIVOTDATA("Sum - Store Lost",$A$3,"Group","SO")</f>
        <v>1</v>
      </c>
      <c r="P17">
        <f>GETPIVOTDATA("Sum - Store Lost",$A$3,"Group","OTH")</f>
        <v>2</v>
      </c>
      <c r="S17" s="71">
        <f>SUM(B17:R17)</f>
        <v>10</v>
      </c>
    </row>
    <row r="18" spans="1:19" ht="12.75">
      <c r="A18" s="74"/>
      <c r="B18" s="73"/>
      <c r="C18" s="73"/>
      <c r="D18" s="73"/>
      <c r="E18" s="73"/>
      <c r="G18" s="73"/>
      <c r="H18" s="73"/>
      <c r="I18" s="73"/>
      <c r="M18" s="73"/>
      <c r="O18" s="73"/>
      <c r="S18" s="71"/>
    </row>
    <row r="19" spans="1:19" ht="13.5" thickBot="1">
      <c r="A19" s="74"/>
      <c r="B19" s="73"/>
      <c r="C19" s="73"/>
      <c r="D19" s="73"/>
      <c r="E19" s="73"/>
      <c r="G19" s="73"/>
      <c r="H19" s="73"/>
      <c r="I19" s="73"/>
      <c r="M19" s="73"/>
      <c r="O19" s="73"/>
      <c r="S19" s="71"/>
    </row>
    <row r="20" spans="2:19" ht="12.75">
      <c r="B20" s="60" t="s">
        <v>23</v>
      </c>
      <c r="C20" s="61" t="s">
        <v>44</v>
      </c>
      <c r="D20" s="61" t="s">
        <v>22</v>
      </c>
      <c r="E20" s="61" t="s">
        <v>45</v>
      </c>
      <c r="F20" s="61" t="s">
        <v>46</v>
      </c>
      <c r="G20" s="61" t="s">
        <v>47</v>
      </c>
      <c r="H20" s="61" t="s">
        <v>48</v>
      </c>
      <c r="I20" s="61" t="s">
        <v>24</v>
      </c>
      <c r="J20" s="61" t="s">
        <v>50</v>
      </c>
      <c r="K20" s="61" t="s">
        <v>51</v>
      </c>
      <c r="L20" s="61" t="s">
        <v>52</v>
      </c>
      <c r="M20" s="61" t="s">
        <v>53</v>
      </c>
      <c r="N20" s="61" t="s">
        <v>54</v>
      </c>
      <c r="O20" s="61" t="s">
        <v>55</v>
      </c>
      <c r="P20" s="61" t="s">
        <v>56</v>
      </c>
      <c r="Q20" s="62" t="s">
        <v>57</v>
      </c>
      <c r="R20" s="63" t="s">
        <v>58</v>
      </c>
      <c r="S20" s="71"/>
    </row>
    <row r="21" spans="1:19" ht="12.75">
      <c r="A21" s="164" t="s">
        <v>90</v>
      </c>
      <c r="B21" s="75">
        <f aca="true" t="shared" si="0" ref="B21:H21">B17/($B24/24)</f>
        <v>0.028109627547441132</v>
      </c>
      <c r="C21" s="123">
        <f t="shared" si="0"/>
        <v>0</v>
      </c>
      <c r="D21" s="76">
        <f t="shared" si="0"/>
        <v>0.014054813773720566</v>
      </c>
      <c r="E21" s="76">
        <f t="shared" si="0"/>
        <v>0.028109627547441132</v>
      </c>
      <c r="F21" s="75">
        <f t="shared" si="0"/>
        <v>0</v>
      </c>
      <c r="G21" s="75">
        <f t="shared" si="0"/>
        <v>0.028109627547441132</v>
      </c>
      <c r="H21" s="75">
        <f t="shared" si="0"/>
        <v>0</v>
      </c>
      <c r="I21" s="75"/>
      <c r="J21" s="76">
        <f>J17/($B24/24)</f>
        <v>0</v>
      </c>
      <c r="K21" s="76">
        <f>K17/($B24/24)</f>
        <v>0</v>
      </c>
      <c r="L21" s="75">
        <f>L17/($B24/24)</f>
        <v>0</v>
      </c>
      <c r="M21" s="76"/>
      <c r="N21" s="75">
        <f aca="true" t="shared" si="1" ref="N21:S21">N17/($B24/24)</f>
        <v>0</v>
      </c>
      <c r="O21" s="75">
        <f t="shared" si="1"/>
        <v>0</v>
      </c>
      <c r="P21" s="76">
        <f t="shared" si="1"/>
        <v>0.028109627547441132</v>
      </c>
      <c r="Q21" s="75">
        <f t="shared" si="1"/>
        <v>0</v>
      </c>
      <c r="R21" s="75">
        <f t="shared" si="1"/>
        <v>0</v>
      </c>
      <c r="S21" s="75">
        <f t="shared" si="1"/>
        <v>0.14054813773720565</v>
      </c>
    </row>
    <row r="22" spans="1:20" ht="12.75">
      <c r="A22" s="77" t="s">
        <v>61</v>
      </c>
      <c r="B22" s="78">
        <f>'[1]reliabilitySummary'!$F$7</f>
        <v>0.12</v>
      </c>
      <c r="C22" s="78">
        <f>'[1]reliabilitySummary'!$F$8</f>
        <v>0.03</v>
      </c>
      <c r="D22" s="78">
        <v>0.12</v>
      </c>
      <c r="E22" s="78">
        <v>0.05</v>
      </c>
      <c r="F22" s="78">
        <v>0.035</v>
      </c>
      <c r="G22" s="78">
        <v>0.035</v>
      </c>
      <c r="H22" s="78">
        <v>0.035</v>
      </c>
      <c r="I22" s="78">
        <v>0.06</v>
      </c>
      <c r="J22" s="78">
        <v>0.02</v>
      </c>
      <c r="K22" s="79">
        <v>0</v>
      </c>
      <c r="L22" s="79">
        <v>0.01</v>
      </c>
      <c r="M22" s="79">
        <v>0.01</v>
      </c>
      <c r="N22" s="79">
        <v>0.01</v>
      </c>
      <c r="O22" s="79">
        <v>0.01</v>
      </c>
      <c r="P22" s="79">
        <v>0.02</v>
      </c>
      <c r="Q22" s="79">
        <v>0.01</v>
      </c>
      <c r="R22" s="79">
        <v>0.02</v>
      </c>
      <c r="S22" s="79">
        <f>SUM(B22:R22)</f>
        <v>0.5950000000000001</v>
      </c>
      <c r="T22" s="80"/>
    </row>
    <row r="24" spans="1:2" ht="12.75">
      <c r="A24" s="37" t="s">
        <v>31</v>
      </c>
      <c r="B24" s="68">
        <f>'Main Data'!D52</f>
        <v>1707.5999999996275</v>
      </c>
    </row>
    <row r="25" spans="1:2" ht="12.75">
      <c r="A25" s="81" t="s">
        <v>35</v>
      </c>
      <c r="B25" s="79">
        <f>'Main Data'!D54</f>
        <v>1727</v>
      </c>
    </row>
    <row r="29" ht="12.75">
      <c r="A29" s="82"/>
    </row>
    <row r="35" ht="12.75">
      <c r="A35" s="83" t="s">
        <v>64</v>
      </c>
    </row>
    <row r="36" spans="1:9" ht="12.75">
      <c r="A36" s="82"/>
      <c r="B36" s="104"/>
      <c r="C36" s="105" t="s">
        <v>12</v>
      </c>
      <c r="D36" s="104"/>
      <c r="E36" s="104"/>
      <c r="F36" s="104"/>
      <c r="G36" s="104"/>
      <c r="H36" s="104"/>
      <c r="I36" s="106"/>
    </row>
    <row r="37" spans="1:9" ht="12.75">
      <c r="A37" s="105" t="s">
        <v>15</v>
      </c>
      <c r="B37" s="105" t="s">
        <v>39</v>
      </c>
      <c r="C37" s="82" t="s">
        <v>22</v>
      </c>
      <c r="D37" s="107" t="s">
        <v>23</v>
      </c>
      <c r="E37" s="107" t="s">
        <v>66</v>
      </c>
      <c r="F37" s="107" t="s">
        <v>70</v>
      </c>
      <c r="G37" s="107" t="s">
        <v>68</v>
      </c>
      <c r="H37" s="107" t="s">
        <v>69</v>
      </c>
      <c r="I37" s="108" t="s">
        <v>59</v>
      </c>
    </row>
    <row r="38" spans="1:9" ht="12.75">
      <c r="A38" s="82" t="s">
        <v>17</v>
      </c>
      <c r="B38" s="82" t="s">
        <v>41</v>
      </c>
      <c r="C38" s="109">
        <v>1</v>
      </c>
      <c r="D38" s="110">
        <v>2</v>
      </c>
      <c r="E38" s="110"/>
      <c r="F38" s="110">
        <v>1</v>
      </c>
      <c r="G38" s="110">
        <v>1</v>
      </c>
      <c r="H38" s="110">
        <v>1</v>
      </c>
      <c r="I38" s="111">
        <v>6</v>
      </c>
    </row>
    <row r="39" spans="1:9" ht="12.75">
      <c r="A39" s="112"/>
      <c r="B39" s="113" t="s">
        <v>40</v>
      </c>
      <c r="C39" s="114">
        <v>0</v>
      </c>
      <c r="D39" s="73">
        <v>0</v>
      </c>
      <c r="E39" s="73"/>
      <c r="F39" s="73">
        <v>0</v>
      </c>
      <c r="G39" s="73">
        <v>0</v>
      </c>
      <c r="H39" s="73">
        <v>0</v>
      </c>
      <c r="I39" s="115">
        <v>0</v>
      </c>
    </row>
    <row r="40" spans="1:9" ht="12.75">
      <c r="A40" s="82" t="s">
        <v>67</v>
      </c>
      <c r="B40" s="82" t="s">
        <v>41</v>
      </c>
      <c r="C40" s="109"/>
      <c r="D40" s="110"/>
      <c r="E40" s="110">
        <v>0</v>
      </c>
      <c r="F40" s="110"/>
      <c r="G40" s="110"/>
      <c r="H40" s="110"/>
      <c r="I40" s="111">
        <v>0</v>
      </c>
    </row>
    <row r="41" spans="1:9" ht="12.75">
      <c r="A41" s="112"/>
      <c r="B41" s="113" t="s">
        <v>40</v>
      </c>
      <c r="C41" s="114"/>
      <c r="D41" s="73"/>
      <c r="E41" s="73">
        <v>1</v>
      </c>
      <c r="F41" s="73"/>
      <c r="G41" s="73"/>
      <c r="H41" s="73"/>
      <c r="I41" s="115">
        <v>1</v>
      </c>
    </row>
    <row r="42" spans="1:9" ht="12.75">
      <c r="A42" s="82" t="s">
        <v>43</v>
      </c>
      <c r="B42" s="104"/>
      <c r="C42" s="109">
        <v>1</v>
      </c>
      <c r="D42" s="110">
        <v>2</v>
      </c>
      <c r="E42" s="110">
        <v>0</v>
      </c>
      <c r="F42" s="110">
        <v>1</v>
      </c>
      <c r="G42" s="110">
        <v>1</v>
      </c>
      <c r="H42" s="110">
        <v>1</v>
      </c>
      <c r="I42" s="111">
        <v>6</v>
      </c>
    </row>
    <row r="43" spans="1:9" ht="12.75">
      <c r="A43" s="116" t="s">
        <v>42</v>
      </c>
      <c r="B43" s="117"/>
      <c r="C43" s="118">
        <v>0</v>
      </c>
      <c r="D43" s="165">
        <v>0</v>
      </c>
      <c r="E43" s="165">
        <v>1</v>
      </c>
      <c r="F43" s="165">
        <v>0</v>
      </c>
      <c r="G43" s="165">
        <v>0</v>
      </c>
      <c r="H43" s="165">
        <v>0</v>
      </c>
      <c r="I43" s="119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7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6">
      <selection activeCell="A6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2013-07-02T17:43:44Z</cp:lastPrinted>
  <dcterms:created xsi:type="dcterms:W3CDTF">1998-01-15T00:06:45Z</dcterms:created>
  <dcterms:modified xsi:type="dcterms:W3CDTF">2014-04-25T16:36:47Z</dcterms:modified>
  <cp:category/>
  <cp:version/>
  <cp:contentType/>
  <cp:contentStatus/>
  <cp:revision>5</cp:revision>
</cp:coreProperties>
</file>