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556" yWindow="270" windowWidth="23685" windowHeight="11490" tabRatio="927" activeTab="1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Data'!$A$2:$P$56</definedName>
    <definedName name="Excel_BuiltIn_Print_Area_1_1_1">'Main Data'!$A$2:$P$78</definedName>
    <definedName name="Excel_BuiltIn_Print_Area_1_1_11">'Main Data'!$A$2:$P$79</definedName>
    <definedName name="Excel_BuiltIn_Print_Area_1_1_1_1">'Main Data'!$A$2:$P$64</definedName>
    <definedName name="Excel_BuiltIn_Print_Area_41">'Faults Per Day'!$A$1:$W$67</definedName>
    <definedName name="Faults_Day_of_Delivered_Beam">'Main Data'!$D$107</definedName>
    <definedName name="Mean_Time_Between_Faults">'Main Data'!$D$106</definedName>
    <definedName name="Number_of_Fills">'Main Data'!$D$99</definedName>
    <definedName name="Number_of_Intentional_Dumps">'Main Data'!$D$98</definedName>
    <definedName name="Number_of_Lost_Fills">'Main Data'!$D$97</definedName>
    <definedName name="_xlnm.Print_Area" localSheetId="3">'Faults Per Day'!$A$1:$AC$81</definedName>
    <definedName name="_xlnm.Print_Area" localSheetId="0">'Main Data'!$A$2:$P$65</definedName>
    <definedName name="_xlnm.Print_Titles" localSheetId="0">'Main Data'!$4:$4</definedName>
    <definedName name="Refill_Time">'Main Data'!$D$1</definedName>
    <definedName name="Total_Schedule_Run_Length">'Main Data'!$D$103</definedName>
    <definedName name="Total_System_Downtime">'Main Data'!$K$99</definedName>
    <definedName name="Total_User_Beam">'Main Data'!$D$101</definedName>
    <definedName name="Total_User_Downtime">'Main Data'!$D$102</definedName>
    <definedName name="User_Beam_Days">'Main Data'!$E$101</definedName>
    <definedName name="X_ray_Availability">'Main Data'!$D$108</definedName>
  </definedNames>
  <calcPr fullCalcOnLoad="1"/>
  <pivotCaches>
    <pivotCache cacheId="7" r:id="rId5"/>
    <pivotCache cacheId="13" r:id="rId6"/>
  </pivotCaches>
</workbook>
</file>

<file path=xl/sharedStrings.xml><?xml version="1.0" encoding="utf-8"?>
<sst xmlns="http://schemas.openxmlformats.org/spreadsheetml/2006/main" count="258" uniqueCount="102">
  <si>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</si>
  <si>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</si>
  <si>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</si>
  <si>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</si>
  <si>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</si>
  <si>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</si>
  <si>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</si>
  <si>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</si>
  <si>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</si>
  <si>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</si>
  <si>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</si>
  <si>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</si>
  <si>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</si>
  <si>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</si>
  <si>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</si>
  <si>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</si>
  <si>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</si>
  <si>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</si>
  <si>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</si>
  <si>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</si>
  <si>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</si>
  <si>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</si>
  <si>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</si>
  <si>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</si>
  <si>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CTL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</si>
  <si>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</si>
  <si>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</si>
  <si>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</si>
  <si>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</si>
  <si>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</si>
  <si>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</si>
  <si>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</si>
  <si>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</si>
  <si>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</si>
  <si>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</si>
  <si>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</si>
  <si>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</si>
  <si>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</si>
  <si>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</si>
  <si>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</si>
  <si>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</si>
  <si>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</si>
  <si>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</si>
  <si>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</si>
  <si>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</si>
  <si>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</si>
  <si>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</si>
  <si>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</si>
  <si>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</si>
  <si>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</si>
  <si>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</si>
  <si>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</si>
  <si>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</si>
  <si>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</si>
  <si>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</si>
  <si>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</si>
  <si>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</si>
  <si>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</si>
  <si>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</si>
  <si>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</si>
  <si>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</si>
  <si>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</si>
  <si>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</si>
  <si>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</si>
  <si>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</si>
  <si>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</si>
  <si>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SI</t>
  </si>
  <si>
    <t>Inhibits Beam to user</t>
  </si>
  <si>
    <t>Sum of System Length</t>
  </si>
  <si>
    <t>AOP</t>
  </si>
  <si>
    <t>FMS</t>
  </si>
  <si>
    <t>Int Dump: End of Period</t>
  </si>
  <si>
    <t xml:space="preserve">Int Dump: End of Period </t>
  </si>
  <si>
    <t xml:space="preserve">S37 RF Cav Vacuum [RF]   </t>
  </si>
  <si>
    <t>RTFB BPM glitch[CTL]</t>
  </si>
  <si>
    <t>Power sag[COM-ED]</t>
  </si>
  <si>
    <t>RF3 Crowbar [RF]</t>
  </si>
  <si>
    <t xml:space="preserve">Human Error (AOP) </t>
  </si>
  <si>
    <t>H20 leak @ S12B:Q4[MOM]</t>
  </si>
  <si>
    <t>S21C:BM P.S. Noise investigation [PS]</t>
  </si>
  <si>
    <t>MOM techs came and started pump, refill</t>
  </si>
  <si>
    <t>MOM techs started pump, bypassed UPS, refill</t>
  </si>
  <si>
    <t>Investigation, reboot IOCS17FB, refilled</t>
  </si>
  <si>
    <t>Inhibits beam to user</t>
  </si>
  <si>
    <t>COMED</t>
  </si>
  <si>
    <t>Inj. prob.[1.27hrAOP],FB IOC prob.[1.41,CTL]</t>
  </si>
  <si>
    <t xml:space="preserve">Cycled shutter permit key </t>
  </si>
  <si>
    <t>PS Swapout</t>
  </si>
  <si>
    <t>Repair leak</t>
  </si>
  <si>
    <t>L1 water station relay replacement</t>
  </si>
  <si>
    <t>Downtime for Run 2013-3</t>
  </si>
  <si>
    <t>S1/2 Pump trip [MOM]</t>
  </si>
  <si>
    <t xml:space="preserve">RF4Door Swtch Intlk[RF]  </t>
  </si>
  <si>
    <t>Iocrf3hvps reboot[CTL]</t>
  </si>
  <si>
    <t>Spurious rad monitor trip, reset RF3, refill</t>
  </si>
  <si>
    <t xml:space="preserve">420 RF TS rad mon [ESH] </t>
  </si>
  <si>
    <t>RAD</t>
  </si>
  <si>
    <t>MPS VV interlock[MOM]</t>
  </si>
  <si>
    <t>Bad OC config [AOP]</t>
  </si>
  <si>
    <t xml:space="preserve">BPLD trip[UNK]           </t>
  </si>
  <si>
    <t>UNK</t>
  </si>
  <si>
    <t>Run 2013-3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</si>
</sst>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3.9"/>
      <color indexed="8"/>
      <name val="Arial"/>
      <family val="2"/>
    </font>
    <font>
      <sz val="23"/>
      <color indexed="8"/>
      <name val="Arial"/>
      <family val="2"/>
    </font>
    <font>
      <b/>
      <sz val="18.8"/>
      <color indexed="8"/>
      <name val="Arial"/>
      <family val="2"/>
    </font>
    <font>
      <b/>
      <sz val="17.1"/>
      <color indexed="8"/>
      <name val="Arial"/>
      <family val="2"/>
    </font>
    <font>
      <sz val="13.35"/>
      <color indexed="8"/>
      <name val="Arial"/>
      <family val="2"/>
    </font>
    <font>
      <sz val="12"/>
      <color indexed="8"/>
      <name val="Arial"/>
      <family val="2"/>
    </font>
    <font>
      <sz val="39.9"/>
      <color indexed="8"/>
      <name val="Arial"/>
      <family val="2"/>
    </font>
    <font>
      <b/>
      <sz val="39.9"/>
      <color indexed="8"/>
      <name val="Arial"/>
      <family val="2"/>
    </font>
    <font>
      <b/>
      <sz val="44.6"/>
      <color indexed="8"/>
      <name val="Arial"/>
      <family val="2"/>
    </font>
    <font>
      <sz val="9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1" fillId="0" borderId="22" xfId="0" applyNumberFormat="1" applyFont="1" applyFill="1" applyBorder="1" applyAlignment="1">
      <alignment horizontal="center" textRotation="90"/>
    </xf>
    <xf numFmtId="164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textRotation="90" wrapText="1"/>
    </xf>
    <xf numFmtId="165" fontId="1" fillId="0" borderId="22" xfId="0" applyNumberFormat="1" applyFont="1" applyFill="1" applyBorder="1" applyAlignment="1">
      <alignment horizontal="center" textRotation="90" wrapText="1"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1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29" xfId="0" applyNumberForma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164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 applyProtection="1">
      <alignment/>
      <protection/>
    </xf>
    <xf numFmtId="0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NumberFormat="1" applyFont="1" applyFill="1" applyBorder="1" applyAlignment="1" applyProtection="1">
      <alignment horizontal="left"/>
      <protection/>
    </xf>
    <xf numFmtId="0" fontId="0" fillId="39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NumberFormat="1" applyFont="1" applyFill="1" applyBorder="1" applyAlignment="1" applyProtection="1">
      <alignment/>
      <protection/>
    </xf>
    <xf numFmtId="0" fontId="0" fillId="39" borderId="18" xfId="0" applyNumberFormat="1" applyFont="1" applyFill="1" applyBorder="1" applyAlignment="1" applyProtection="1">
      <alignment/>
      <protection locked="0"/>
    </xf>
    <xf numFmtId="0" fontId="0" fillId="39" borderId="18" xfId="0" applyNumberFormat="1" applyFont="1" applyFill="1" applyBorder="1" applyAlignment="1" applyProtection="1">
      <alignment horizontal="left"/>
      <protection/>
    </xf>
    <xf numFmtId="2" fontId="0" fillId="40" borderId="18" xfId="0" applyNumberFormat="1" applyFont="1" applyFill="1" applyBorder="1" applyAlignment="1">
      <alignment horizontal="right"/>
    </xf>
    <xf numFmtId="2" fontId="0" fillId="0" borderId="28" xfId="0" applyNumberForma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0" fontId="0" fillId="0" borderId="17" xfId="0" applyFont="1" applyBorder="1" applyAlignment="1">
      <alignment horizontal="left"/>
    </xf>
    <xf numFmtId="2" fontId="0" fillId="41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 horizontal="right"/>
    </xf>
    <xf numFmtId="164" fontId="0" fillId="42" borderId="18" xfId="0" applyNumberFormat="1" applyFont="1" applyFill="1" applyBorder="1" applyAlignment="1">
      <alignment horizontal="right"/>
    </xf>
    <xf numFmtId="2" fontId="0" fillId="43" borderId="18" xfId="0" applyNumberFormat="1" applyFont="1" applyFill="1" applyBorder="1" applyAlignment="1">
      <alignment horizontal="right"/>
    </xf>
    <xf numFmtId="0" fontId="0" fillId="42" borderId="18" xfId="0" applyNumberFormat="1" applyFont="1" applyFill="1" applyBorder="1" applyAlignment="1" applyProtection="1">
      <alignment/>
      <protection/>
    </xf>
    <xf numFmtId="0" fontId="0" fillId="42" borderId="18" xfId="0" applyNumberFormat="1" applyFont="1" applyFill="1" applyBorder="1" applyAlignment="1" applyProtection="1">
      <alignment/>
      <protection locked="0"/>
    </xf>
    <xf numFmtId="0" fontId="0" fillId="42" borderId="18" xfId="0" applyNumberFormat="1" applyFont="1" applyFill="1" applyBorder="1" applyAlignment="1" applyProtection="1">
      <alignment horizontal="left"/>
      <protection/>
    </xf>
    <xf numFmtId="164" fontId="0" fillId="42" borderId="18" xfId="0" applyNumberFormat="1" applyFont="1" applyFill="1" applyBorder="1" applyAlignment="1">
      <alignment/>
    </xf>
    <xf numFmtId="164" fontId="0" fillId="44" borderId="18" xfId="0" applyNumberFormat="1" applyFont="1" applyFill="1" applyBorder="1" applyAlignment="1">
      <alignment horizontal="right"/>
    </xf>
    <xf numFmtId="2" fontId="0" fillId="45" borderId="18" xfId="0" applyNumberFormat="1" applyFont="1" applyFill="1" applyBorder="1" applyAlignment="1">
      <alignment horizontal="right"/>
    </xf>
    <xf numFmtId="0" fontId="0" fillId="44" borderId="18" xfId="0" applyNumberFormat="1" applyFont="1" applyFill="1" applyBorder="1" applyAlignment="1" applyProtection="1">
      <alignment/>
      <protection/>
    </xf>
    <xf numFmtId="0" fontId="0" fillId="44" borderId="18" xfId="0" applyNumberFormat="1" applyFont="1" applyFill="1" applyBorder="1" applyAlignment="1" applyProtection="1">
      <alignment/>
      <protection locked="0"/>
    </xf>
    <xf numFmtId="0" fontId="0" fillId="44" borderId="18" xfId="0" applyNumberFormat="1" applyFont="1" applyFill="1" applyBorder="1" applyAlignment="1" applyProtection="1">
      <alignment horizontal="left"/>
      <protection/>
    </xf>
    <xf numFmtId="164" fontId="0" fillId="44" borderId="18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37" borderId="18" xfId="0" applyNumberFormat="1" applyFont="1" applyFill="1" applyBorder="1" applyAlignment="1">
      <alignment horizontal="right"/>
    </xf>
    <xf numFmtId="164" fontId="0" fillId="37" borderId="18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right"/>
    </xf>
    <xf numFmtId="164" fontId="0" fillId="37" borderId="18" xfId="0" applyNumberFormat="1" applyFont="1" applyFill="1" applyBorder="1" applyAlignment="1">
      <alignment/>
    </xf>
    <xf numFmtId="0" fontId="0" fillId="37" borderId="18" xfId="0" applyNumberFormat="1" applyFont="1" applyFill="1" applyBorder="1" applyAlignment="1">
      <alignment horizontal="center"/>
    </xf>
    <xf numFmtId="164" fontId="0" fillId="37" borderId="18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 applyProtection="1">
      <alignment/>
      <protection/>
    </xf>
    <xf numFmtId="0" fontId="0" fillId="37" borderId="18" xfId="0" applyNumberFormat="1" applyFont="1" applyFill="1" applyBorder="1" applyAlignment="1" applyProtection="1">
      <alignment/>
      <protection locked="0"/>
    </xf>
    <xf numFmtId="0" fontId="0" fillId="37" borderId="18" xfId="0" applyNumberFormat="1" applyFont="1" applyFill="1" applyBorder="1" applyAlignment="1" applyProtection="1">
      <alignment horizontal="left"/>
      <protection/>
    </xf>
    <xf numFmtId="0" fontId="0" fillId="32" borderId="18" xfId="0" applyNumberFormat="1" applyFont="1" applyFill="1" applyBorder="1" applyAlignment="1" applyProtection="1">
      <alignment horizontal="left"/>
      <protection/>
    </xf>
    <xf numFmtId="164" fontId="0" fillId="32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0" fillId="46" borderId="18" xfId="0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numFmt numFmtId="2" formatCode="0.00"/>
      <border/>
    </dxf>
    <dxf>
      <font>
        <b val="0"/>
        <i val="0"/>
        <u val="none"/>
        <strike val="0"/>
        <sz val="10"/>
        <name val="Arial"/>
        <color auto="1"/>
      </font>
      <alignment horizontal="left" vertical="bottom" textRotation="0" wrapText="1" indent="0" shrinkToFit="1" readingOrder="0"/>
      <border/>
    </dxf>
    <dxf>
      <font>
        <b val="0"/>
        <i val="0"/>
        <u val="none"/>
        <strike val="0"/>
        <sz val="10"/>
        <name val="Arial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2013-3 Downtime by System 
October 1 - December 16, 2013
 Scheduled User Time = 1545  hours     
User downtime=  33.52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2013-3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ptCount val="16"/>
                <c:pt idx="0">
                  <c:v>0.0020496445483846404</c:v>
                </c:pt>
                <c:pt idx="1">
                  <c:v>0</c:v>
                </c:pt>
                <c:pt idx="2">
                  <c:v>0.0014994768012877864</c:v>
                </c:pt>
                <c:pt idx="3">
                  <c:v>0.001984918931079128</c:v>
                </c:pt>
                <c:pt idx="4">
                  <c:v>0</c:v>
                </c:pt>
                <c:pt idx="5">
                  <c:v>0.00029126527787480506</c:v>
                </c:pt>
                <c:pt idx="6">
                  <c:v>0.011931088792883753</c:v>
                </c:pt>
                <c:pt idx="7">
                  <c:v>0.0020280693426538115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0.0015857776243241274</c:v>
                </c:pt>
                <c:pt idx="13">
                  <c:v>0</c:v>
                </c:pt>
                <c:pt idx="14">
                  <c:v>0</c:v>
                </c:pt>
                <c:pt idx="15">
                  <c:v>0.000323628086640587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ptCount val="16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0.0036000000000000003</c:v>
                </c:pt>
                <c:pt idx="7">
                  <c:v>0.0012000000000000001</c:v>
                </c:pt>
                <c:pt idx="8">
                  <c:v>0</c:v>
                </c:pt>
                <c:pt idx="9">
                  <c:v>0.0006000000000000001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0.0012000000000000001</c:v>
                </c:pt>
                <c:pt idx="15">
                  <c:v>0.0006000000000000001</c:v>
                </c:pt>
              </c:numCache>
            </c:numRef>
          </c:val>
        </c:ser>
        <c:axId val="39698667"/>
        <c:axId val="21743684"/>
      </c:bar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8667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8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2013-3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8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2013-3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0.03175723359209459</c:v>
                </c:pt>
                <c:pt idx="1">
                  <c:v>0</c:v>
                </c:pt>
                <c:pt idx="2">
                  <c:v>0</c:v>
                </c:pt>
                <c:pt idx="3">
                  <c:v>0.03175723359209459</c:v>
                </c:pt>
                <c:pt idx="4">
                  <c:v>0</c:v>
                </c:pt>
                <c:pt idx="5">
                  <c:v>0.015878616796047296</c:v>
                </c:pt>
                <c:pt idx="6">
                  <c:v>0.09527170077628377</c:v>
                </c:pt>
                <c:pt idx="7">
                  <c:v>0.03175723359209459</c:v>
                </c:pt>
                <c:pt idx="8">
                  <c:v>0</c:v>
                </c:pt>
                <c:pt idx="9">
                  <c:v>0</c:v>
                </c:pt>
                <c:pt idx="11">
                  <c:v>0.015878616796047296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0.015878616796047296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61475429"/>
        <c:axId val="16407950"/>
      </c:bar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7950"/>
        <c:crossesAt val="0"/>
        <c:auto val="1"/>
        <c:lblOffset val="100"/>
        <c:tickLblSkip val="1"/>
        <c:noMultiLvlLbl val="0"/>
      </c:catAx>
      <c:valAx>
        <c:axId val="16407950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429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97725"/>
          <c:w val="0.11325"/>
          <c:h val="0.01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97</xdr:row>
      <xdr:rowOff>76200</xdr:rowOff>
    </xdr:from>
    <xdr:to>
      <xdr:col>11</xdr:col>
      <xdr:colOff>85725</xdr:colOff>
      <xdr:row>98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6916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54</xdr:row>
      <xdr:rowOff>76200</xdr:rowOff>
    </xdr:from>
    <xdr:to>
      <xdr:col>11</xdr:col>
      <xdr:colOff>47625</xdr:colOff>
      <xdr:row>55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977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0\2010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53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7">
        <s v="SI"/>
        <m/>
        <s v="PS"/>
        <s v="AOP"/>
        <s v="CTL"/>
        <s v="RF"/>
        <s v="FMS"/>
        <s v="OTH"/>
        <s v="ComEd"/>
        <s v="OPS"/>
        <s v="ESH"/>
        <s v="Rad"/>
        <s v="DIA"/>
        <s v="UNK"/>
        <s v="Weather"/>
        <s v="MOM"/>
        <s v="FMS-H2O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s v="Store Lost"/>
        <s v="Scheduled"/>
        <m/>
        <s v="Inhibits Beam to user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52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9">
        <s v="PS"/>
        <s v="MOM"/>
        <s v="CTL"/>
        <s v="COMED"/>
        <m/>
        <s v="RF"/>
        <s v="AOP"/>
        <s v="RAD"/>
        <s v="UNK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h="1" x="4"/>
        <item x="0"/>
        <item x="5"/>
        <item x="6"/>
        <item x="1"/>
        <item x="3"/>
        <item x="2"/>
        <item x="7"/>
        <item x="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 Length" fld="10" baseField="0" baseItem="0"/>
  </dataFields>
  <formats count="5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I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7">
        <item h="1" x="1"/>
        <item m="1" x="16"/>
        <item x="2"/>
        <item x="5"/>
        <item m="1" x="10"/>
        <item x="0"/>
        <item m="1" x="12"/>
        <item x="4"/>
        <item m="1" x="15"/>
        <item x="6"/>
        <item m="1" x="13"/>
        <item m="1" x="9"/>
        <item m="1" x="8"/>
        <item m="1" x="14"/>
        <item m="1" x="7"/>
        <item m="1" x="11"/>
        <item x="3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1"/>
        <item x="2"/>
        <item x="0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7">
    <i>
      <x v="2"/>
    </i>
    <i>
      <x v="3"/>
    </i>
    <i>
      <x v="5"/>
    </i>
    <i>
      <x v="7"/>
    </i>
    <i>
      <x v="9"/>
    </i>
    <i>
      <x v="16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zoomScale="75" zoomScaleNormal="75" workbookViewId="0" topLeftCell="A37">
      <selection activeCell="F22" sqref="F22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94" t="s">
        <v>90</v>
      </c>
      <c r="B2" s="194"/>
      <c r="C2" s="194"/>
      <c r="D2" s="194"/>
      <c r="E2" s="194"/>
      <c r="F2" s="194"/>
      <c r="G2" s="194"/>
      <c r="H2" s="194"/>
      <c r="I2" s="194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116" t="s">
        <v>3</v>
      </c>
      <c r="B4" s="117" t="s">
        <v>4</v>
      </c>
      <c r="C4" s="117" t="s">
        <v>5</v>
      </c>
      <c r="D4" s="118" t="s">
        <v>6</v>
      </c>
      <c r="E4" s="119" t="s">
        <v>7</v>
      </c>
      <c r="F4" s="116" t="s">
        <v>8</v>
      </c>
      <c r="G4" s="120" t="s">
        <v>9</v>
      </c>
      <c r="H4" s="117" t="s">
        <v>4</v>
      </c>
      <c r="I4" s="117" t="s">
        <v>5</v>
      </c>
      <c r="J4" s="121" t="s">
        <v>10</v>
      </c>
      <c r="K4" s="122" t="s">
        <v>11</v>
      </c>
      <c r="L4" s="123" t="s">
        <v>12</v>
      </c>
      <c r="M4" s="124" t="s">
        <v>13</v>
      </c>
      <c r="N4" s="124" t="s">
        <v>14</v>
      </c>
      <c r="O4" s="123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34" customFormat="1" ht="12.75">
      <c r="A5" s="140"/>
      <c r="B5" s="160"/>
      <c r="C5" s="160"/>
      <c r="D5" s="154">
        <f aca="true" t="shared" si="0" ref="D5:D12">(C5-B5)*24</f>
        <v>0</v>
      </c>
      <c r="E5" s="141"/>
      <c r="F5" s="142">
        <v>106053</v>
      </c>
      <c r="G5" s="143"/>
      <c r="H5" s="160">
        <v>41548.333333333336</v>
      </c>
      <c r="I5" s="160">
        <v>41548.37569444445</v>
      </c>
      <c r="J5" s="154">
        <f aca="true" t="shared" si="1" ref="J5:J12">(I5-H5)*24</f>
        <v>1.0166666666627862</v>
      </c>
      <c r="K5" s="154">
        <f aca="true" t="shared" si="2" ref="K5:K12">(I5-H5)*24</f>
        <v>1.0166666666627862</v>
      </c>
      <c r="L5" s="144" t="s">
        <v>22</v>
      </c>
      <c r="M5" s="145" t="s">
        <v>22</v>
      </c>
      <c r="N5" s="145" t="s">
        <v>22</v>
      </c>
      <c r="O5" s="146" t="s">
        <v>83</v>
      </c>
      <c r="P5" s="141" t="s">
        <v>79</v>
      </c>
      <c r="Q5" s="35">
        <f aca="true" t="shared" si="3" ref="Q5:Q13">IF($O5="Store Lost",1,"")</f>
      </c>
      <c r="R5" s="35">
        <f aca="true" t="shared" si="4" ref="R5:R13">IF($O5="Scheduled",1,"")</f>
      </c>
      <c r="S5" s="35">
        <f aca="true" t="shared" si="5" ref="S5:S13">IF($O5="Inhibits beam to user",1,"")</f>
        <v>1</v>
      </c>
      <c r="T5" s="36">
        <f>SUM(Q5:S5)</f>
        <v>1</v>
      </c>
      <c r="U5" s="30"/>
      <c r="V5" s="30"/>
      <c r="W5" s="30"/>
    </row>
    <row r="6" spans="1:23" s="34" customFormat="1" ht="12.75">
      <c r="A6" s="147">
        <v>1</v>
      </c>
      <c r="B6" s="159">
        <v>41548.37569444445</v>
      </c>
      <c r="C6" s="159">
        <v>41549.24444444444</v>
      </c>
      <c r="D6" s="158">
        <f t="shared" si="0"/>
        <v>20.8499999998603</v>
      </c>
      <c r="E6" s="148" t="s">
        <v>73</v>
      </c>
      <c r="F6" s="149">
        <v>106054</v>
      </c>
      <c r="G6" s="150"/>
      <c r="H6" s="159">
        <v>41549.24444444444</v>
      </c>
      <c r="I6" s="159">
        <v>41549.25625</v>
      </c>
      <c r="J6" s="158">
        <f t="shared" si="1"/>
        <v>0.28333333338378</v>
      </c>
      <c r="K6" s="158">
        <f t="shared" si="2"/>
        <v>0.28333333338378</v>
      </c>
      <c r="L6" s="151" t="s">
        <v>25</v>
      </c>
      <c r="M6" s="152" t="s">
        <v>25</v>
      </c>
      <c r="N6" s="152" t="s">
        <v>25</v>
      </c>
      <c r="O6" s="153" t="s">
        <v>17</v>
      </c>
      <c r="P6" s="148"/>
      <c r="Q6" s="35">
        <f t="shared" si="3"/>
        <v>1</v>
      </c>
      <c r="R6" s="35"/>
      <c r="S6" s="35"/>
      <c r="T6" s="36"/>
      <c r="U6" s="30"/>
      <c r="V6" s="30"/>
      <c r="W6" s="30"/>
    </row>
    <row r="7" spans="1:23" s="34" customFormat="1" ht="12.75">
      <c r="A7" s="140">
        <v>2</v>
      </c>
      <c r="B7" s="160">
        <v>41549.25625</v>
      </c>
      <c r="C7" s="160">
        <v>41553.19583333333</v>
      </c>
      <c r="D7" s="154">
        <f t="shared" si="0"/>
        <v>94.54999999998836</v>
      </c>
      <c r="E7" s="141" t="s">
        <v>91</v>
      </c>
      <c r="F7" s="142">
        <v>106055</v>
      </c>
      <c r="G7" s="143"/>
      <c r="H7" s="160">
        <v>41553.19583333333</v>
      </c>
      <c r="I7" s="160">
        <v>41553.25625</v>
      </c>
      <c r="J7" s="154">
        <f t="shared" si="1"/>
        <v>1.4500000000116415</v>
      </c>
      <c r="K7" s="154">
        <f t="shared" si="2"/>
        <v>1.4500000000116415</v>
      </c>
      <c r="L7" s="144" t="s">
        <v>25</v>
      </c>
      <c r="M7" s="145" t="s">
        <v>25</v>
      </c>
      <c r="N7" s="145" t="s">
        <v>25</v>
      </c>
      <c r="O7" s="146" t="s">
        <v>17</v>
      </c>
      <c r="P7" s="141" t="s">
        <v>80</v>
      </c>
      <c r="Q7" s="35">
        <f t="shared" si="3"/>
        <v>1</v>
      </c>
      <c r="R7" s="35">
        <f t="shared" si="4"/>
      </c>
      <c r="S7" s="35">
        <f t="shared" si="5"/>
      </c>
      <c r="T7" s="36">
        <f aca="true" t="shared" si="6" ref="T7:T13">SUM(Q7:S7)</f>
        <v>1</v>
      </c>
      <c r="U7" s="30"/>
      <c r="V7" s="30"/>
      <c r="W7" s="30"/>
    </row>
    <row r="8" spans="1:23" s="139" customFormat="1" ht="12.75">
      <c r="A8" s="147">
        <v>3</v>
      </c>
      <c r="B8" s="148">
        <v>41553.25625</v>
      </c>
      <c r="C8" s="148">
        <v>41553.52638888889</v>
      </c>
      <c r="D8" s="94">
        <f t="shared" si="0"/>
        <v>6.483333333337214</v>
      </c>
      <c r="E8" s="148" t="s">
        <v>91</v>
      </c>
      <c r="F8" s="149">
        <v>106056</v>
      </c>
      <c r="G8" s="150"/>
      <c r="H8" s="148">
        <v>41553.52638888889</v>
      </c>
      <c r="I8" s="148">
        <v>41553.57638888889</v>
      </c>
      <c r="J8" s="94">
        <f t="shared" si="1"/>
        <v>1.2000000000698492</v>
      </c>
      <c r="K8" s="94">
        <f t="shared" si="2"/>
        <v>1.2000000000698492</v>
      </c>
      <c r="L8" s="151" t="s">
        <v>25</v>
      </c>
      <c r="M8" s="152" t="s">
        <v>25</v>
      </c>
      <c r="N8" s="152" t="s">
        <v>25</v>
      </c>
      <c r="O8" s="153" t="s">
        <v>17</v>
      </c>
      <c r="P8" s="148" t="s">
        <v>80</v>
      </c>
      <c r="Q8" s="35">
        <f t="shared" si="3"/>
        <v>1</v>
      </c>
      <c r="R8" s="35">
        <f t="shared" si="4"/>
      </c>
      <c r="S8" s="35">
        <f t="shared" si="5"/>
      </c>
      <c r="T8" s="36">
        <f t="shared" si="6"/>
        <v>1</v>
      </c>
      <c r="U8" s="138"/>
      <c r="V8" s="138"/>
      <c r="W8" s="138"/>
    </row>
    <row r="9" spans="1:23" s="34" customFormat="1" ht="12.75">
      <c r="A9" s="174">
        <v>4</v>
      </c>
      <c r="B9" s="175">
        <v>41553.57638888889</v>
      </c>
      <c r="C9" s="175">
        <v>41553.73263888889</v>
      </c>
      <c r="D9" s="176">
        <f t="shared" si="0"/>
        <v>3.75</v>
      </c>
      <c r="E9" s="177" t="s">
        <v>91</v>
      </c>
      <c r="F9" s="178">
        <v>106057</v>
      </c>
      <c r="G9" s="179"/>
      <c r="H9" s="175">
        <v>41553.73263888889</v>
      </c>
      <c r="I9" s="175">
        <v>41553.78125</v>
      </c>
      <c r="J9" s="176">
        <f t="shared" si="1"/>
        <v>1.1666666666278616</v>
      </c>
      <c r="K9" s="176">
        <f t="shared" si="2"/>
        <v>1.1666666666278616</v>
      </c>
      <c r="L9" s="180" t="s">
        <v>25</v>
      </c>
      <c r="M9" s="181" t="s">
        <v>25</v>
      </c>
      <c r="N9" s="181" t="s">
        <v>25</v>
      </c>
      <c r="O9" s="182" t="s">
        <v>17</v>
      </c>
      <c r="P9" s="177" t="s">
        <v>81</v>
      </c>
      <c r="Q9" s="35">
        <f t="shared" si="3"/>
        <v>1</v>
      </c>
      <c r="R9" s="35"/>
      <c r="S9" s="35"/>
      <c r="T9" s="36"/>
      <c r="U9" s="30"/>
      <c r="V9" s="30"/>
      <c r="W9" s="30"/>
    </row>
    <row r="10" spans="1:23" s="34" customFormat="1" ht="12.75">
      <c r="A10" s="183">
        <v>5</v>
      </c>
      <c r="B10" s="184">
        <v>41553.78125</v>
      </c>
      <c r="C10" s="184">
        <v>41554.77777777778</v>
      </c>
      <c r="D10" s="185">
        <f t="shared" si="0"/>
        <v>23.916666666744277</v>
      </c>
      <c r="E10" s="186" t="s">
        <v>74</v>
      </c>
      <c r="F10" s="187">
        <v>106059</v>
      </c>
      <c r="G10" s="188"/>
      <c r="H10" s="184">
        <v>41554.77777777778</v>
      </c>
      <c r="I10" s="184">
        <v>41554.830555555556</v>
      </c>
      <c r="J10" s="185">
        <f t="shared" si="1"/>
        <v>1.2666666666045785</v>
      </c>
      <c r="K10" s="185">
        <f t="shared" si="2"/>
        <v>1.2666666666045785</v>
      </c>
      <c r="L10" s="189" t="s">
        <v>24</v>
      </c>
      <c r="M10" s="190" t="s">
        <v>24</v>
      </c>
      <c r="N10" s="190" t="s">
        <v>24</v>
      </c>
      <c r="O10" s="191" t="s">
        <v>17</v>
      </c>
      <c r="P10" s="186" t="s">
        <v>82</v>
      </c>
      <c r="Q10" s="35">
        <f t="shared" si="3"/>
        <v>1</v>
      </c>
      <c r="R10" s="35">
        <f t="shared" si="4"/>
      </c>
      <c r="S10" s="35">
        <f t="shared" si="5"/>
      </c>
      <c r="T10" s="36">
        <f>SUM(Q10:S10)</f>
        <v>1</v>
      </c>
      <c r="U10" s="30"/>
      <c r="V10" s="30"/>
      <c r="W10" s="30"/>
    </row>
    <row r="11" spans="1:23" s="139" customFormat="1" ht="12.75">
      <c r="A11" s="174">
        <v>6</v>
      </c>
      <c r="B11" s="177">
        <v>41554.830555555556</v>
      </c>
      <c r="C11" s="177">
        <v>41555.143055555556</v>
      </c>
      <c r="D11" s="176">
        <f t="shared" si="0"/>
        <v>7.5</v>
      </c>
      <c r="E11" s="177" t="s">
        <v>75</v>
      </c>
      <c r="F11" s="178">
        <v>106060</v>
      </c>
      <c r="G11" s="179"/>
      <c r="H11" s="177">
        <v>41555.143055555556</v>
      </c>
      <c r="I11" s="177">
        <v>41555.24513888889</v>
      </c>
      <c r="J11" s="176">
        <f t="shared" si="1"/>
        <v>2.449999999953434</v>
      </c>
      <c r="K11" s="176">
        <f t="shared" si="2"/>
        <v>2.449999999953434</v>
      </c>
      <c r="L11" s="180" t="s">
        <v>84</v>
      </c>
      <c r="M11" s="181" t="s">
        <v>84</v>
      </c>
      <c r="N11" s="181" t="s">
        <v>84</v>
      </c>
      <c r="O11" s="182" t="s">
        <v>17</v>
      </c>
      <c r="P11" s="177"/>
      <c r="Q11" s="35">
        <f t="shared" si="3"/>
        <v>1</v>
      </c>
      <c r="R11" s="35">
        <f t="shared" si="4"/>
      </c>
      <c r="S11" s="35">
        <f t="shared" si="5"/>
      </c>
      <c r="T11" s="36">
        <f>SUM(Q11:S11)</f>
        <v>1</v>
      </c>
      <c r="U11" s="138"/>
      <c r="V11" s="138"/>
      <c r="W11" s="138"/>
    </row>
    <row r="12" spans="1:23" s="137" customFormat="1" ht="12.75">
      <c r="A12" s="147">
        <v>7</v>
      </c>
      <c r="B12" s="148">
        <v>41555.24513888889</v>
      </c>
      <c r="C12" s="148">
        <v>41555.333333333336</v>
      </c>
      <c r="D12" s="158">
        <f t="shared" si="0"/>
        <v>2.1166666667559184</v>
      </c>
      <c r="E12" s="148" t="s">
        <v>72</v>
      </c>
      <c r="F12" s="149"/>
      <c r="G12" s="150"/>
      <c r="H12" s="148"/>
      <c r="I12" s="148"/>
      <c r="J12" s="158">
        <f t="shared" si="1"/>
        <v>0</v>
      </c>
      <c r="K12" s="158">
        <f t="shared" si="2"/>
        <v>0</v>
      </c>
      <c r="L12" s="151"/>
      <c r="M12" s="152"/>
      <c r="N12" s="152"/>
      <c r="O12" s="153" t="s">
        <v>21</v>
      </c>
      <c r="P12" s="148"/>
      <c r="Q12" s="35">
        <f t="shared" si="3"/>
      </c>
      <c r="R12" s="35">
        <f t="shared" si="4"/>
        <v>1</v>
      </c>
      <c r="S12" s="35">
        <f t="shared" si="5"/>
      </c>
      <c r="T12" s="36">
        <f t="shared" si="6"/>
        <v>1</v>
      </c>
      <c r="U12" s="136"/>
      <c r="V12" s="136"/>
      <c r="W12" s="136"/>
    </row>
    <row r="13" spans="1:23" s="34" customFormat="1" ht="12.75">
      <c r="A13" s="125"/>
      <c r="B13" s="126"/>
      <c r="C13" s="126"/>
      <c r="D13" s="127">
        <f>SUM(D6:D12)</f>
        <v>159.16666666668607</v>
      </c>
      <c r="E13" s="128"/>
      <c r="F13" s="129"/>
      <c r="G13" s="130"/>
      <c r="H13" s="131"/>
      <c r="I13" s="131"/>
      <c r="J13" s="173">
        <f>SUM(J5:J12)</f>
        <v>8.83333333331393</v>
      </c>
      <c r="K13" s="173">
        <f>SUM(K5:K12)</f>
        <v>8.83333333331393</v>
      </c>
      <c r="L13" s="132"/>
      <c r="M13" s="133"/>
      <c r="N13" s="133"/>
      <c r="O13" s="134"/>
      <c r="P13" s="128"/>
      <c r="Q13" s="35">
        <f t="shared" si="3"/>
      </c>
      <c r="R13" s="35">
        <f t="shared" si="4"/>
      </c>
      <c r="S13" s="35">
        <f t="shared" si="5"/>
      </c>
      <c r="T13" s="36">
        <f t="shared" si="6"/>
        <v>0</v>
      </c>
      <c r="U13" s="30"/>
      <c r="V13" s="30"/>
      <c r="W13" s="30"/>
    </row>
    <row r="14" spans="1:23" s="139" customFormat="1" ht="12.75">
      <c r="A14" s="147">
        <v>8</v>
      </c>
      <c r="B14" s="148">
        <v>41556.333333333336</v>
      </c>
      <c r="C14" s="148">
        <v>41558.888194444444</v>
      </c>
      <c r="D14" s="94">
        <f>(C14-B14)*24</f>
        <v>61.31666666659294</v>
      </c>
      <c r="E14" s="148" t="s">
        <v>76</v>
      </c>
      <c r="F14" s="149">
        <v>106063</v>
      </c>
      <c r="G14" s="150"/>
      <c r="H14" s="148">
        <v>41558.888194444444</v>
      </c>
      <c r="I14" s="148">
        <v>41558.95</v>
      </c>
      <c r="J14" s="94">
        <f>(I14-H14)*24</f>
        <v>1.4833333332790062</v>
      </c>
      <c r="K14" s="94">
        <f>(I14-H14)*24</f>
        <v>1.4833333332790062</v>
      </c>
      <c r="L14" s="151" t="s">
        <v>23</v>
      </c>
      <c r="M14" s="152" t="s">
        <v>23</v>
      </c>
      <c r="N14" s="152" t="s">
        <v>23</v>
      </c>
      <c r="O14" s="153" t="s">
        <v>17</v>
      </c>
      <c r="P14" s="148"/>
      <c r="Q14" s="35">
        <f aca="true" t="shared" si="7" ref="Q14:Q52">IF($O14="Store Lost",1,"")</f>
        <v>1</v>
      </c>
      <c r="R14" s="35">
        <f aca="true" t="shared" si="8" ref="R14:R20">IF($O14="Scheduled",1,"")</f>
      </c>
      <c r="S14" s="35">
        <f aca="true" t="shared" si="9" ref="S14:S20">IF($O14="Inhibits beam to user",1,"")</f>
      </c>
      <c r="T14" s="36">
        <f aca="true" t="shared" si="10" ref="T14:T20">SUM(Q14:S14)</f>
        <v>1</v>
      </c>
      <c r="U14" s="138"/>
      <c r="V14" s="138"/>
      <c r="W14" s="138"/>
    </row>
    <row r="15" spans="1:23" s="137" customFormat="1" ht="12.75">
      <c r="A15" s="140">
        <v>9</v>
      </c>
      <c r="B15" s="141">
        <v>41558.95</v>
      </c>
      <c r="C15" s="141">
        <v>41562.333333333336</v>
      </c>
      <c r="D15" s="154">
        <f>(C15-B15)*24</f>
        <v>81.20000000012806</v>
      </c>
      <c r="E15" s="141" t="s">
        <v>71</v>
      </c>
      <c r="F15" s="142"/>
      <c r="G15" s="143"/>
      <c r="H15" s="141"/>
      <c r="I15" s="141"/>
      <c r="J15" s="154">
        <f>(I15-H15)*24</f>
        <v>0</v>
      </c>
      <c r="K15" s="154">
        <f>(I15-H15)*24</f>
        <v>0</v>
      </c>
      <c r="L15" s="144"/>
      <c r="M15" s="145"/>
      <c r="N15" s="145"/>
      <c r="O15" s="146" t="s">
        <v>21</v>
      </c>
      <c r="P15" s="141"/>
      <c r="Q15" s="35">
        <f t="shared" si="7"/>
      </c>
      <c r="R15" s="35">
        <f t="shared" si="8"/>
        <v>1</v>
      </c>
      <c r="S15" s="35">
        <f t="shared" si="9"/>
      </c>
      <c r="T15" s="36">
        <f t="shared" si="10"/>
        <v>1</v>
      </c>
      <c r="U15" s="136"/>
      <c r="V15" s="136"/>
      <c r="W15" s="136"/>
    </row>
    <row r="16" spans="1:23" s="34" customFormat="1" ht="12.75">
      <c r="A16" s="125"/>
      <c r="B16" s="126"/>
      <c r="C16" s="126"/>
      <c r="D16" s="127">
        <f>SUM(D14:D15)</f>
        <v>142.516666666721</v>
      </c>
      <c r="E16" s="128"/>
      <c r="F16" s="129"/>
      <c r="G16" s="130"/>
      <c r="H16" s="131"/>
      <c r="I16" s="131"/>
      <c r="J16" s="173">
        <f>SUM(J14:J15)</f>
        <v>1.4833333332790062</v>
      </c>
      <c r="K16" s="173">
        <f>SUM(K14:K15)</f>
        <v>1.4833333332790062</v>
      </c>
      <c r="L16" s="132"/>
      <c r="M16" s="133"/>
      <c r="N16" s="133"/>
      <c r="O16" s="134"/>
      <c r="P16" s="128"/>
      <c r="Q16" s="35">
        <f t="shared" si="7"/>
      </c>
      <c r="R16" s="35">
        <f t="shared" si="8"/>
      </c>
      <c r="S16" s="35">
        <f t="shared" si="9"/>
      </c>
      <c r="T16" s="36">
        <f t="shared" si="10"/>
        <v>0</v>
      </c>
      <c r="U16" s="30"/>
      <c r="V16" s="30"/>
      <c r="W16" s="30"/>
    </row>
    <row r="17" spans="1:23" s="34" customFormat="1" ht="12.75">
      <c r="A17" s="140"/>
      <c r="B17" s="160"/>
      <c r="C17" s="160"/>
      <c r="D17" s="154">
        <f>(C17-B17)*24</f>
        <v>0</v>
      </c>
      <c r="E17" s="141"/>
      <c r="F17" s="142">
        <v>106065</v>
      </c>
      <c r="G17" s="143"/>
      <c r="H17" s="160">
        <v>41563.333333333336</v>
      </c>
      <c r="I17" s="160">
        <v>41563.444444444445</v>
      </c>
      <c r="J17" s="176">
        <f>(I17-H17)*24</f>
        <v>2.6666666666278616</v>
      </c>
      <c r="K17" s="154"/>
      <c r="L17" s="144"/>
      <c r="M17" s="145"/>
      <c r="N17" s="145"/>
      <c r="O17" s="146"/>
      <c r="P17" s="141" t="s">
        <v>85</v>
      </c>
      <c r="Q17" s="35">
        <f t="shared" si="7"/>
      </c>
      <c r="R17" s="35">
        <f t="shared" si="8"/>
      </c>
      <c r="S17" s="35">
        <f t="shared" si="9"/>
      </c>
      <c r="T17" s="36">
        <f t="shared" si="10"/>
        <v>0</v>
      </c>
      <c r="U17" s="30"/>
      <c r="V17" s="30"/>
      <c r="W17" s="30"/>
    </row>
    <row r="18" spans="1:23" s="34" customFormat="1" ht="12.75">
      <c r="A18" s="140"/>
      <c r="B18" s="160"/>
      <c r="C18" s="160"/>
      <c r="D18" s="154"/>
      <c r="E18" s="141"/>
      <c r="F18" s="142"/>
      <c r="G18" s="143"/>
      <c r="H18" s="161">
        <v>41563.333333333336</v>
      </c>
      <c r="I18" s="161">
        <v>41563.38611111111</v>
      </c>
      <c r="J18" s="162"/>
      <c r="K18" s="162">
        <f>(I18-H18)*24</f>
        <v>1.2666666666045785</v>
      </c>
      <c r="L18" s="163" t="s">
        <v>69</v>
      </c>
      <c r="M18" s="164" t="s">
        <v>69</v>
      </c>
      <c r="N18" s="164" t="s">
        <v>69</v>
      </c>
      <c r="O18" s="165" t="s">
        <v>83</v>
      </c>
      <c r="P18" s="166"/>
      <c r="Q18" s="35">
        <f t="shared" si="7"/>
      </c>
      <c r="R18" s="35">
        <f t="shared" si="8"/>
      </c>
      <c r="S18" s="35">
        <f t="shared" si="9"/>
        <v>1</v>
      </c>
      <c r="T18" s="36">
        <f t="shared" si="10"/>
        <v>1</v>
      </c>
      <c r="U18" s="30"/>
      <c r="V18" s="30"/>
      <c r="W18" s="30"/>
    </row>
    <row r="19" spans="1:23" s="34" customFormat="1" ht="12.75">
      <c r="A19" s="140"/>
      <c r="B19" s="160"/>
      <c r="C19" s="160"/>
      <c r="D19" s="154"/>
      <c r="E19" s="141"/>
      <c r="F19" s="142"/>
      <c r="G19" s="143"/>
      <c r="H19" s="167">
        <v>41563.38611111111</v>
      </c>
      <c r="I19" s="167">
        <v>41563.444444444445</v>
      </c>
      <c r="J19" s="168"/>
      <c r="K19" s="168">
        <f>(I19-H19)*24</f>
        <v>1.400000000023283</v>
      </c>
      <c r="L19" s="169" t="s">
        <v>24</v>
      </c>
      <c r="M19" s="170" t="s">
        <v>24</v>
      </c>
      <c r="N19" s="170" t="s">
        <v>24</v>
      </c>
      <c r="O19" s="171" t="s">
        <v>83</v>
      </c>
      <c r="P19" s="172"/>
      <c r="Q19" s="35">
        <f t="shared" si="7"/>
      </c>
      <c r="R19" s="35">
        <f t="shared" si="8"/>
      </c>
      <c r="S19" s="35">
        <f t="shared" si="9"/>
        <v>1</v>
      </c>
      <c r="T19" s="36">
        <f t="shared" si="10"/>
        <v>1</v>
      </c>
      <c r="U19" s="30"/>
      <c r="V19" s="30"/>
      <c r="W19" s="30"/>
    </row>
    <row r="20" spans="1:23" s="139" customFormat="1" ht="12.75">
      <c r="A20" s="147">
        <v>11</v>
      </c>
      <c r="B20" s="148">
        <v>41563.444444444445</v>
      </c>
      <c r="C20" s="148">
        <v>41563.64097222222</v>
      </c>
      <c r="D20" s="94">
        <f>(C20-B20)*24</f>
        <v>4.716666666674428</v>
      </c>
      <c r="E20" s="148" t="s">
        <v>77</v>
      </c>
      <c r="F20" s="149">
        <v>106066</v>
      </c>
      <c r="G20" s="150"/>
      <c r="H20" s="148">
        <v>41563.64097222222</v>
      </c>
      <c r="I20" s="148">
        <v>41563.64236111111</v>
      </c>
      <c r="J20" s="94">
        <f>(I20-H20)*24</f>
        <v>0.03333333326736465</v>
      </c>
      <c r="K20" s="94">
        <f>(I20-H20)*24</f>
        <v>0.03333333326736465</v>
      </c>
      <c r="L20" s="151" t="s">
        <v>69</v>
      </c>
      <c r="M20" s="152" t="s">
        <v>69</v>
      </c>
      <c r="N20" s="152" t="s">
        <v>69</v>
      </c>
      <c r="O20" s="153" t="s">
        <v>17</v>
      </c>
      <c r="P20" s="148" t="s">
        <v>86</v>
      </c>
      <c r="Q20" s="35">
        <f t="shared" si="7"/>
        <v>1</v>
      </c>
      <c r="R20" s="35">
        <f t="shared" si="8"/>
      </c>
      <c r="S20" s="35">
        <f t="shared" si="9"/>
      </c>
      <c r="T20" s="36">
        <f t="shared" si="10"/>
        <v>1</v>
      </c>
      <c r="U20" s="138"/>
      <c r="V20" s="138"/>
      <c r="W20" s="138"/>
    </row>
    <row r="21" spans="1:23" s="34" customFormat="1" ht="12.75">
      <c r="A21" s="174">
        <v>12</v>
      </c>
      <c r="B21" s="175">
        <v>41563.64236111111</v>
      </c>
      <c r="C21" s="175">
        <v>41569.013194444444</v>
      </c>
      <c r="D21" s="176">
        <f>(C21-B21)*24</f>
        <v>128.90000000002328</v>
      </c>
      <c r="E21" s="177" t="s">
        <v>78</v>
      </c>
      <c r="F21" s="178">
        <v>106068</v>
      </c>
      <c r="G21" s="179"/>
      <c r="H21" s="175">
        <v>41569.013194444444</v>
      </c>
      <c r="I21" s="175">
        <v>41569.333333333336</v>
      </c>
      <c r="J21" s="176">
        <f>(I21-H21)*24</f>
        <v>7.683333333407063</v>
      </c>
      <c r="K21" s="176"/>
      <c r="L21" s="180"/>
      <c r="M21" s="181"/>
      <c r="N21" s="181"/>
      <c r="O21" s="182"/>
      <c r="P21" s="177"/>
      <c r="Q21" s="35">
        <f t="shared" si="7"/>
      </c>
      <c r="R21" s="35"/>
      <c r="S21" s="35"/>
      <c r="T21" s="36"/>
      <c r="U21" s="30"/>
      <c r="V21" s="30"/>
      <c r="W21" s="30"/>
    </row>
    <row r="22" spans="1:23" s="34" customFormat="1" ht="12.75">
      <c r="A22" s="140"/>
      <c r="B22" s="160"/>
      <c r="C22" s="160"/>
      <c r="D22" s="154"/>
      <c r="E22" s="141"/>
      <c r="F22" s="142"/>
      <c r="G22" s="143"/>
      <c r="H22" s="161">
        <v>41569.013194444444</v>
      </c>
      <c r="I22" s="161">
        <v>41569.03402777778</v>
      </c>
      <c r="J22" s="162"/>
      <c r="K22" s="162">
        <f>(I22-H22)*24</f>
        <v>0.5000000000582077</v>
      </c>
      <c r="L22" s="163" t="s">
        <v>25</v>
      </c>
      <c r="M22" s="164" t="s">
        <v>25</v>
      </c>
      <c r="N22" s="164" t="s">
        <v>25</v>
      </c>
      <c r="O22" s="192" t="s">
        <v>17</v>
      </c>
      <c r="P22" s="166"/>
      <c r="Q22" s="35">
        <f t="shared" si="7"/>
        <v>1</v>
      </c>
      <c r="R22" s="35">
        <f aca="true" t="shared" si="11" ref="R22:R52">IF($O22="Scheduled",1,"")</f>
      </c>
      <c r="S22" s="35">
        <f aca="true" t="shared" si="12" ref="S22:S52">IF($O22="Inhibits beam to user",1,"")</f>
      </c>
      <c r="T22" s="36">
        <f aca="true" t="shared" si="13" ref="T22:T27">SUM(Q22:S22)</f>
        <v>1</v>
      </c>
      <c r="U22" s="30"/>
      <c r="V22" s="30"/>
      <c r="W22" s="30"/>
    </row>
    <row r="23" spans="1:23" s="34" customFormat="1" ht="12.75">
      <c r="A23" s="140"/>
      <c r="B23" s="160"/>
      <c r="C23" s="160"/>
      <c r="D23" s="154"/>
      <c r="E23" s="141"/>
      <c r="F23" s="142"/>
      <c r="G23" s="143"/>
      <c r="H23" s="167">
        <v>41569.03402777778</v>
      </c>
      <c r="I23" s="167">
        <v>41569.06458333333</v>
      </c>
      <c r="J23" s="168"/>
      <c r="K23" s="168">
        <f>(I23-H23)*24</f>
        <v>0.7333333332790062</v>
      </c>
      <c r="L23" s="169" t="s">
        <v>69</v>
      </c>
      <c r="M23" s="170" t="s">
        <v>69</v>
      </c>
      <c r="N23" s="170" t="s">
        <v>69</v>
      </c>
      <c r="O23" s="171" t="s">
        <v>83</v>
      </c>
      <c r="P23" s="172" t="s">
        <v>87</v>
      </c>
      <c r="Q23" s="35">
        <f t="shared" si="7"/>
      </c>
      <c r="R23" s="35">
        <f t="shared" si="11"/>
      </c>
      <c r="S23" s="35">
        <f t="shared" si="12"/>
        <v>1</v>
      </c>
      <c r="T23" s="36">
        <f t="shared" si="13"/>
        <v>1</v>
      </c>
      <c r="U23" s="30"/>
      <c r="V23" s="30"/>
      <c r="W23" s="30"/>
    </row>
    <row r="24" spans="1:23" s="34" customFormat="1" ht="12.75">
      <c r="A24" s="140"/>
      <c r="B24" s="160"/>
      <c r="C24" s="160"/>
      <c r="D24" s="154"/>
      <c r="E24" s="141"/>
      <c r="F24" s="142"/>
      <c r="G24" s="143"/>
      <c r="H24" s="161">
        <v>41569.06458333333</v>
      </c>
      <c r="I24" s="193">
        <v>41569.333333333336</v>
      </c>
      <c r="J24" s="162"/>
      <c r="K24" s="162">
        <f>(I24-H24)*24</f>
        <v>6.450000000069849</v>
      </c>
      <c r="L24" s="163" t="s">
        <v>25</v>
      </c>
      <c r="M24" s="164" t="s">
        <v>25</v>
      </c>
      <c r="N24" s="164" t="s">
        <v>25</v>
      </c>
      <c r="O24" s="165" t="s">
        <v>83</v>
      </c>
      <c r="P24" s="166" t="s">
        <v>88</v>
      </c>
      <c r="Q24" s="35">
        <f t="shared" si="7"/>
      </c>
      <c r="R24" s="35">
        <f t="shared" si="11"/>
      </c>
      <c r="S24" s="35">
        <f t="shared" si="12"/>
        <v>1</v>
      </c>
      <c r="T24" s="36">
        <f t="shared" si="13"/>
        <v>1</v>
      </c>
      <c r="U24" s="30"/>
      <c r="V24" s="30"/>
      <c r="W24" s="30"/>
    </row>
    <row r="25" spans="1:23" s="34" customFormat="1" ht="12.75">
      <c r="A25" s="125"/>
      <c r="B25" s="126"/>
      <c r="C25" s="126"/>
      <c r="D25" s="127">
        <f>SUM(D17:D21)</f>
        <v>133.6166666666977</v>
      </c>
      <c r="E25" s="128"/>
      <c r="F25" s="129"/>
      <c r="G25" s="130"/>
      <c r="H25" s="131"/>
      <c r="I25" s="131"/>
      <c r="J25" s="173">
        <f>SUM(J17:J24)</f>
        <v>10.38333333330229</v>
      </c>
      <c r="K25" s="173">
        <f>SUM(K17:K24)</f>
        <v>10.38333333330229</v>
      </c>
      <c r="L25" s="132"/>
      <c r="M25" s="133"/>
      <c r="N25" s="133"/>
      <c r="O25" s="134"/>
      <c r="P25" s="128"/>
      <c r="Q25" s="35">
        <f t="shared" si="7"/>
      </c>
      <c r="R25" s="35">
        <f t="shared" si="11"/>
      </c>
      <c r="S25" s="35">
        <f t="shared" si="12"/>
      </c>
      <c r="T25" s="36">
        <f t="shared" si="13"/>
        <v>0</v>
      </c>
      <c r="U25" s="30"/>
      <c r="V25" s="30"/>
      <c r="W25" s="30"/>
    </row>
    <row r="26" spans="1:23" s="137" customFormat="1" ht="12.75">
      <c r="A26" s="140">
        <v>13</v>
      </c>
      <c r="B26" s="141">
        <v>41570.333333333336</v>
      </c>
      <c r="C26" s="141">
        <v>41575.333333333336</v>
      </c>
      <c r="D26" s="154">
        <f>(C26-B26)*24</f>
        <v>120</v>
      </c>
      <c r="E26" s="141" t="s">
        <v>71</v>
      </c>
      <c r="F26" s="142"/>
      <c r="G26" s="143"/>
      <c r="H26" s="141"/>
      <c r="I26" s="141"/>
      <c r="J26" s="154">
        <f>(I26-H26)*24</f>
        <v>0</v>
      </c>
      <c r="K26" s="154">
        <f>(I26-H26)*24</f>
        <v>0</v>
      </c>
      <c r="L26" s="144"/>
      <c r="M26" s="145"/>
      <c r="N26" s="145"/>
      <c r="O26" s="146" t="s">
        <v>21</v>
      </c>
      <c r="P26" s="141"/>
      <c r="Q26" s="35">
        <f t="shared" si="7"/>
      </c>
      <c r="R26" s="35">
        <f t="shared" si="11"/>
        <v>1</v>
      </c>
      <c r="S26" s="35">
        <f t="shared" si="12"/>
      </c>
      <c r="T26" s="36">
        <f t="shared" si="13"/>
        <v>1</v>
      </c>
      <c r="U26" s="136"/>
      <c r="V26" s="136"/>
      <c r="W26" s="136"/>
    </row>
    <row r="27" spans="1:23" s="34" customFormat="1" ht="12.75">
      <c r="A27" s="125"/>
      <c r="B27" s="126"/>
      <c r="C27" s="126"/>
      <c r="D27" s="127">
        <f>SUM(D26:D26)</f>
        <v>120</v>
      </c>
      <c r="E27" s="128"/>
      <c r="F27" s="129"/>
      <c r="G27" s="130"/>
      <c r="H27" s="131"/>
      <c r="I27" s="131"/>
      <c r="J27" s="173">
        <f>SUM(J26:J26)</f>
        <v>0</v>
      </c>
      <c r="K27" s="173">
        <f>SUM(K26:K26)</f>
        <v>0</v>
      </c>
      <c r="L27" s="132"/>
      <c r="M27" s="133"/>
      <c r="N27" s="133"/>
      <c r="O27" s="134"/>
      <c r="P27" s="128"/>
      <c r="Q27" s="35">
        <f t="shared" si="7"/>
      </c>
      <c r="R27" s="35">
        <f t="shared" si="11"/>
      </c>
      <c r="S27" s="35">
        <f t="shared" si="12"/>
      </c>
      <c r="T27" s="36">
        <f t="shared" si="13"/>
        <v>0</v>
      </c>
      <c r="U27" s="30"/>
      <c r="V27" s="30"/>
      <c r="W27" s="30"/>
    </row>
    <row r="28" spans="1:23" s="34" customFormat="1" ht="12.75">
      <c r="A28" s="140"/>
      <c r="B28" s="160"/>
      <c r="C28" s="160"/>
      <c r="D28" s="154">
        <f>(C28-B28)*24</f>
        <v>0</v>
      </c>
      <c r="E28" s="141"/>
      <c r="F28" s="142">
        <v>106073</v>
      </c>
      <c r="G28" s="143"/>
      <c r="H28" s="160">
        <v>41577.333333333336</v>
      </c>
      <c r="I28" s="141">
        <v>41577.4375</v>
      </c>
      <c r="J28" s="154">
        <f>(I28-H28)*24</f>
        <v>2.4999999999417923</v>
      </c>
      <c r="K28" s="154">
        <f>(I28-H28)*24</f>
        <v>2.4999999999417923</v>
      </c>
      <c r="L28" s="144" t="s">
        <v>25</v>
      </c>
      <c r="M28" s="145" t="s">
        <v>25</v>
      </c>
      <c r="N28" s="145" t="s">
        <v>25</v>
      </c>
      <c r="O28" s="146" t="s">
        <v>83</v>
      </c>
      <c r="P28" s="141" t="s">
        <v>89</v>
      </c>
      <c r="Q28" s="35">
        <f t="shared" si="7"/>
      </c>
      <c r="R28" s="35">
        <f t="shared" si="11"/>
      </c>
      <c r="S28" s="35">
        <f t="shared" si="12"/>
        <v>1</v>
      </c>
      <c r="T28" s="36">
        <f>SUM(Q28:S28)</f>
        <v>1</v>
      </c>
      <c r="U28" s="30"/>
      <c r="V28" s="30"/>
      <c r="W28" s="30"/>
    </row>
    <row r="29" spans="1:23" s="137" customFormat="1" ht="12.75">
      <c r="A29" s="147">
        <v>14</v>
      </c>
      <c r="B29" s="148">
        <v>41577.4375</v>
      </c>
      <c r="C29" s="148">
        <v>41583.333333333336</v>
      </c>
      <c r="D29" s="158">
        <f>(C29-B29)*24+1</f>
        <v>142.5000000000582</v>
      </c>
      <c r="E29" s="148" t="s">
        <v>71</v>
      </c>
      <c r="F29" s="149"/>
      <c r="G29" s="150"/>
      <c r="H29" s="148"/>
      <c r="I29" s="148"/>
      <c r="J29" s="158">
        <f>(I29-H29)*24</f>
        <v>0</v>
      </c>
      <c r="K29" s="158">
        <f>(I29-H29)*24</f>
        <v>0</v>
      </c>
      <c r="L29" s="151"/>
      <c r="M29" s="152"/>
      <c r="N29" s="152"/>
      <c r="O29" s="153" t="s">
        <v>21</v>
      </c>
      <c r="P29" s="148"/>
      <c r="Q29" s="35">
        <f t="shared" si="7"/>
      </c>
      <c r="R29" s="35">
        <f t="shared" si="11"/>
        <v>1</v>
      </c>
      <c r="S29" s="35">
        <f t="shared" si="12"/>
      </c>
      <c r="T29" s="36">
        <f>SUM(Q29:S29)</f>
        <v>1</v>
      </c>
      <c r="U29" s="136"/>
      <c r="V29" s="136"/>
      <c r="W29" s="136"/>
    </row>
    <row r="30" spans="1:23" s="34" customFormat="1" ht="12.75">
      <c r="A30" s="125"/>
      <c r="B30" s="126"/>
      <c r="C30" s="126"/>
      <c r="D30" s="127">
        <f>SUM(D29:D29)</f>
        <v>142.5000000000582</v>
      </c>
      <c r="E30" s="128"/>
      <c r="F30" s="129"/>
      <c r="G30" s="130"/>
      <c r="H30" s="131"/>
      <c r="I30" s="131"/>
      <c r="J30" s="173">
        <f>SUM(J28:J29)</f>
        <v>2.4999999999417923</v>
      </c>
      <c r="K30" s="173">
        <f>SUM(K28:K29)</f>
        <v>2.4999999999417923</v>
      </c>
      <c r="L30" s="132"/>
      <c r="M30" s="133"/>
      <c r="N30" s="133"/>
      <c r="O30" s="134"/>
      <c r="P30" s="128"/>
      <c r="Q30" s="35">
        <f t="shared" si="7"/>
      </c>
      <c r="R30" s="35">
        <f t="shared" si="11"/>
      </c>
      <c r="S30" s="35">
        <f t="shared" si="12"/>
      </c>
      <c r="T30" s="36">
        <f>SUM(Q30:S30)</f>
        <v>0</v>
      </c>
      <c r="U30" s="30"/>
      <c r="V30" s="30"/>
      <c r="W30" s="30"/>
    </row>
    <row r="31" spans="1:23" s="137" customFormat="1" ht="12.75">
      <c r="A31" s="140">
        <v>15</v>
      </c>
      <c r="B31" s="141">
        <v>41584.333333333336</v>
      </c>
      <c r="C31" s="141">
        <v>41589.333333333336</v>
      </c>
      <c r="D31" s="154">
        <f>(C31-B31)*24</f>
        <v>120</v>
      </c>
      <c r="E31" s="141" t="s">
        <v>71</v>
      </c>
      <c r="F31" s="142"/>
      <c r="G31" s="143"/>
      <c r="H31" s="141"/>
      <c r="I31" s="141"/>
      <c r="J31" s="154">
        <f>(I31-H31)*24</f>
        <v>0</v>
      </c>
      <c r="K31" s="154">
        <f>(I31-H31)*24</f>
        <v>0</v>
      </c>
      <c r="L31" s="144"/>
      <c r="M31" s="145"/>
      <c r="N31" s="145"/>
      <c r="O31" s="146" t="s">
        <v>21</v>
      </c>
      <c r="P31" s="141"/>
      <c r="Q31" s="35">
        <f t="shared" si="7"/>
      </c>
      <c r="R31" s="35">
        <f t="shared" si="11"/>
        <v>1</v>
      </c>
      <c r="S31" s="35">
        <f t="shared" si="12"/>
      </c>
      <c r="T31" s="36">
        <f>SUM(Q31:S31)</f>
        <v>1</v>
      </c>
      <c r="U31" s="136"/>
      <c r="V31" s="136"/>
      <c r="W31" s="136"/>
    </row>
    <row r="32" spans="1:23" s="34" customFormat="1" ht="12.75">
      <c r="A32" s="125"/>
      <c r="B32" s="126"/>
      <c r="C32" s="126"/>
      <c r="D32" s="127">
        <f>SUM(D31:D31)</f>
        <v>120</v>
      </c>
      <c r="E32" s="128"/>
      <c r="F32" s="129"/>
      <c r="G32" s="130"/>
      <c r="H32" s="131"/>
      <c r="I32" s="131"/>
      <c r="J32" s="173">
        <f>SUM(J31:J31)</f>
        <v>0</v>
      </c>
      <c r="K32" s="173">
        <f>SUM(K31:K31)</f>
        <v>0</v>
      </c>
      <c r="L32" s="132"/>
      <c r="M32" s="133"/>
      <c r="N32" s="133"/>
      <c r="O32" s="134"/>
      <c r="P32" s="128"/>
      <c r="Q32" s="35">
        <f t="shared" si="7"/>
      </c>
      <c r="R32" s="35">
        <f t="shared" si="11"/>
      </c>
      <c r="S32" s="35">
        <f t="shared" si="12"/>
      </c>
      <c r="T32" s="36">
        <f>SUM(Q32:S32)</f>
        <v>0</v>
      </c>
      <c r="U32" s="30"/>
      <c r="V32" s="30"/>
      <c r="W32" s="30"/>
    </row>
    <row r="33" spans="1:23" s="137" customFormat="1" ht="12.75">
      <c r="A33" s="140">
        <v>16</v>
      </c>
      <c r="B33" s="141">
        <v>41591.333333333336</v>
      </c>
      <c r="C33" s="141">
        <v>41597.333333333336</v>
      </c>
      <c r="D33" s="154">
        <f>(C33-B33)*24</f>
        <v>144</v>
      </c>
      <c r="E33" s="141" t="s">
        <v>71</v>
      </c>
      <c r="F33" s="142"/>
      <c r="G33" s="143"/>
      <c r="H33" s="141"/>
      <c r="I33" s="141"/>
      <c r="J33" s="154">
        <f>(I33-H33)*24</f>
        <v>0</v>
      </c>
      <c r="K33" s="154">
        <f>(I33-H33)*24</f>
        <v>0</v>
      </c>
      <c r="L33" s="144"/>
      <c r="M33" s="145"/>
      <c r="N33" s="145"/>
      <c r="O33" s="146" t="s">
        <v>21</v>
      </c>
      <c r="P33" s="141"/>
      <c r="Q33" s="35">
        <f t="shared" si="7"/>
      </c>
      <c r="R33" s="35">
        <f t="shared" si="11"/>
        <v>1</v>
      </c>
      <c r="S33" s="35">
        <f t="shared" si="12"/>
      </c>
      <c r="T33" s="36">
        <f>SUM(Q33:S33)</f>
        <v>1</v>
      </c>
      <c r="U33" s="136"/>
      <c r="V33" s="136"/>
      <c r="W33" s="136"/>
    </row>
    <row r="34" spans="1:23" s="34" customFormat="1" ht="12.75">
      <c r="A34" s="125"/>
      <c r="B34" s="126"/>
      <c r="C34" s="126"/>
      <c r="D34" s="127">
        <f>SUM(D33:D33)</f>
        <v>144</v>
      </c>
      <c r="E34" s="128"/>
      <c r="F34" s="129"/>
      <c r="G34" s="130"/>
      <c r="H34" s="131"/>
      <c r="I34" s="131"/>
      <c r="J34" s="173">
        <f>SUM(J33:J33)</f>
        <v>0</v>
      </c>
      <c r="K34" s="173">
        <f>SUM(K33:K33)</f>
        <v>0</v>
      </c>
      <c r="L34" s="132"/>
      <c r="M34" s="133"/>
      <c r="N34" s="133"/>
      <c r="O34" s="134"/>
      <c r="P34" s="128"/>
      <c r="Q34" s="35">
        <f t="shared" si="7"/>
      </c>
      <c r="R34" s="35">
        <f t="shared" si="11"/>
      </c>
      <c r="S34" s="35">
        <f t="shared" si="12"/>
      </c>
      <c r="T34" s="36">
        <f>SUM(Q34:S34)</f>
        <v>0</v>
      </c>
      <c r="U34" s="30"/>
      <c r="V34" s="30"/>
      <c r="W34" s="30"/>
    </row>
    <row r="35" spans="1:23" s="139" customFormat="1" ht="12.75">
      <c r="A35" s="147">
        <v>17</v>
      </c>
      <c r="B35" s="148">
        <v>41598.333333333336</v>
      </c>
      <c r="C35" s="148">
        <v>41598.44861111111</v>
      </c>
      <c r="D35" s="94">
        <f>(C35-B35)*24</f>
        <v>2.7666666666045785</v>
      </c>
      <c r="E35" s="148" t="s">
        <v>92</v>
      </c>
      <c r="F35" s="149">
        <v>106086</v>
      </c>
      <c r="G35" s="150"/>
      <c r="H35" s="148">
        <v>41598.44861111111</v>
      </c>
      <c r="I35" s="148">
        <v>41598.49791666667</v>
      </c>
      <c r="J35" s="94">
        <f>(I35-H35)*24</f>
        <v>1.1833333333488554</v>
      </c>
      <c r="K35" s="94">
        <f>(I35-H35)*24</f>
        <v>1.1833333333488554</v>
      </c>
      <c r="L35" s="151" t="s">
        <v>23</v>
      </c>
      <c r="M35" s="152" t="s">
        <v>23</v>
      </c>
      <c r="N35" s="152" t="s">
        <v>23</v>
      </c>
      <c r="O35" s="153" t="s">
        <v>17</v>
      </c>
      <c r="P35" s="148"/>
      <c r="Q35" s="35">
        <f t="shared" si="7"/>
        <v>1</v>
      </c>
      <c r="R35" s="35">
        <f t="shared" si="11"/>
      </c>
      <c r="S35" s="35">
        <f t="shared" si="12"/>
      </c>
      <c r="T35" s="36">
        <f>SUM(Q35:S35)</f>
        <v>1</v>
      </c>
      <c r="U35" s="138"/>
      <c r="V35" s="138"/>
      <c r="W35" s="138"/>
    </row>
    <row r="36" spans="1:23" s="34" customFormat="1" ht="12.75">
      <c r="A36" s="174">
        <v>18</v>
      </c>
      <c r="B36" s="175">
        <v>41598.49791666667</v>
      </c>
      <c r="C36" s="175">
        <v>41599.07638888889</v>
      </c>
      <c r="D36" s="176">
        <f>(C36-B36)*24</f>
        <v>13.883333333360497</v>
      </c>
      <c r="E36" s="177" t="s">
        <v>93</v>
      </c>
      <c r="F36" s="178">
        <v>106087</v>
      </c>
      <c r="G36" s="179"/>
      <c r="H36" s="175">
        <v>41599.07638888889</v>
      </c>
      <c r="I36" s="175">
        <v>41599.09305555555</v>
      </c>
      <c r="J36" s="176">
        <f>(I36-H36)*24</f>
        <v>0.39999999990686774</v>
      </c>
      <c r="K36" s="176">
        <f>(I36-H36)*24</f>
        <v>0.39999999990686774</v>
      </c>
      <c r="L36" s="180" t="s">
        <v>24</v>
      </c>
      <c r="M36" s="181" t="s">
        <v>24</v>
      </c>
      <c r="N36" s="181" t="s">
        <v>24</v>
      </c>
      <c r="O36" s="182" t="s">
        <v>17</v>
      </c>
      <c r="P36" s="177"/>
      <c r="Q36" s="35">
        <f t="shared" si="7"/>
        <v>1</v>
      </c>
      <c r="R36" s="35"/>
      <c r="S36" s="35"/>
      <c r="T36" s="36"/>
      <c r="U36" s="30"/>
      <c r="V36" s="30"/>
      <c r="W36" s="30"/>
    </row>
    <row r="37" spans="1:23" s="34" customFormat="1" ht="12.75">
      <c r="A37" s="183">
        <v>19</v>
      </c>
      <c r="B37" s="184">
        <v>41599.09305555555</v>
      </c>
      <c r="C37" s="184">
        <v>41600.53888888889</v>
      </c>
      <c r="D37" s="185">
        <f>(C37-B37)*24</f>
        <v>34.70000000012806</v>
      </c>
      <c r="E37" s="186" t="s">
        <v>95</v>
      </c>
      <c r="F37" s="187">
        <v>106090</v>
      </c>
      <c r="G37" s="188"/>
      <c r="H37" s="184">
        <v>41600.53888888889</v>
      </c>
      <c r="I37" s="184">
        <v>41600.55763888889</v>
      </c>
      <c r="J37" s="185">
        <f>(I37-H37)*24</f>
        <v>0.4499999998952262</v>
      </c>
      <c r="K37" s="185">
        <f>(I37-H37)*24</f>
        <v>0.4499999998952262</v>
      </c>
      <c r="L37" s="189" t="s">
        <v>96</v>
      </c>
      <c r="M37" s="190" t="s">
        <v>96</v>
      </c>
      <c r="N37" s="190" t="s">
        <v>96</v>
      </c>
      <c r="O37" s="191" t="s">
        <v>17</v>
      </c>
      <c r="P37" s="186" t="s">
        <v>94</v>
      </c>
      <c r="Q37" s="35">
        <f t="shared" si="7"/>
        <v>1</v>
      </c>
      <c r="R37" s="35">
        <f t="shared" si="11"/>
      </c>
      <c r="S37" s="35">
        <f t="shared" si="12"/>
      </c>
      <c r="T37" s="36">
        <f>SUM(Q37:S37)</f>
        <v>1</v>
      </c>
      <c r="U37" s="30"/>
      <c r="V37" s="30"/>
      <c r="W37" s="30"/>
    </row>
    <row r="38" spans="1:23" s="139" customFormat="1" ht="12.75">
      <c r="A38" s="174">
        <v>20</v>
      </c>
      <c r="B38" s="177">
        <v>41600.55763888889</v>
      </c>
      <c r="C38" s="177">
        <v>41602.225694444445</v>
      </c>
      <c r="D38" s="176">
        <f>(C38-B38)*24</f>
        <v>40.03333333338378</v>
      </c>
      <c r="E38" s="177" t="s">
        <v>97</v>
      </c>
      <c r="F38" s="178">
        <v>106091</v>
      </c>
      <c r="G38" s="179"/>
      <c r="H38" s="177">
        <v>41602.225694444445</v>
      </c>
      <c r="I38" s="177">
        <v>41602.42916666667</v>
      </c>
      <c r="J38" s="176">
        <f>(I38-H38)*24</f>
        <v>4.883333333360497</v>
      </c>
      <c r="K38" s="176">
        <f>(I38-H38)*24</f>
        <v>4.883333333360497</v>
      </c>
      <c r="L38" s="180" t="s">
        <v>25</v>
      </c>
      <c r="M38" s="181" t="s">
        <v>25</v>
      </c>
      <c r="N38" s="181" t="s">
        <v>25</v>
      </c>
      <c r="O38" s="182" t="s">
        <v>17</v>
      </c>
      <c r="P38" s="177"/>
      <c r="Q38" s="35">
        <f t="shared" si="7"/>
        <v>1</v>
      </c>
      <c r="R38" s="35">
        <f t="shared" si="11"/>
      </c>
      <c r="S38" s="35">
        <f t="shared" si="12"/>
      </c>
      <c r="T38" s="36">
        <f>SUM(Q38:S38)</f>
        <v>1</v>
      </c>
      <c r="U38" s="138"/>
      <c r="V38" s="138"/>
      <c r="W38" s="138"/>
    </row>
    <row r="39" spans="1:23" s="137" customFormat="1" ht="12.75">
      <c r="A39" s="147">
        <v>21</v>
      </c>
      <c r="B39" s="148">
        <v>41602.42916666667</v>
      </c>
      <c r="C39" s="148">
        <v>41606</v>
      </c>
      <c r="D39" s="185">
        <f>(C39-B39)*24</f>
        <v>85.69999999995343</v>
      </c>
      <c r="E39" s="148" t="s">
        <v>72</v>
      </c>
      <c r="F39" s="149"/>
      <c r="G39" s="150"/>
      <c r="H39" s="148"/>
      <c r="I39" s="148"/>
      <c r="J39" s="158">
        <f>(I39-H39)*24</f>
        <v>0</v>
      </c>
      <c r="K39" s="158">
        <f>(I39-H39)*24</f>
        <v>0</v>
      </c>
      <c r="L39" s="151"/>
      <c r="M39" s="152"/>
      <c r="N39" s="152"/>
      <c r="O39" s="153" t="s">
        <v>21</v>
      </c>
      <c r="P39" s="148"/>
      <c r="Q39" s="35">
        <f t="shared" si="7"/>
      </c>
      <c r="R39" s="35">
        <f t="shared" si="11"/>
        <v>1</v>
      </c>
      <c r="S39" s="35">
        <f t="shared" si="12"/>
      </c>
      <c r="T39" s="36">
        <f>SUM(Q39:S39)</f>
        <v>1</v>
      </c>
      <c r="U39" s="136"/>
      <c r="V39" s="136"/>
      <c r="W39" s="136"/>
    </row>
    <row r="40" spans="1:23" s="34" customFormat="1" ht="12.75">
      <c r="A40" s="125"/>
      <c r="B40" s="126"/>
      <c r="C40" s="126"/>
      <c r="D40" s="127">
        <f>SUM(D35:D39)</f>
        <v>177.08333333343035</v>
      </c>
      <c r="E40" s="128"/>
      <c r="F40" s="129"/>
      <c r="G40" s="130"/>
      <c r="H40" s="131"/>
      <c r="I40" s="131"/>
      <c r="J40" s="173">
        <f>SUM(J35:J39)</f>
        <v>6.916666666511446</v>
      </c>
      <c r="K40" s="173">
        <f>SUM(K35:K39)</f>
        <v>6.916666666511446</v>
      </c>
      <c r="L40" s="132"/>
      <c r="M40" s="133"/>
      <c r="N40" s="133"/>
      <c r="O40" s="134"/>
      <c r="P40" s="128"/>
      <c r="Q40" s="35">
        <f t="shared" si="7"/>
      </c>
      <c r="R40" s="35">
        <f t="shared" si="11"/>
      </c>
      <c r="S40" s="35">
        <f t="shared" si="12"/>
      </c>
      <c r="T40" s="36">
        <f>SUM(Q40:S40)</f>
        <v>0</v>
      </c>
      <c r="U40" s="30"/>
      <c r="V40" s="30"/>
      <c r="W40" s="30"/>
    </row>
    <row r="41" spans="1:23" s="137" customFormat="1" ht="12.75">
      <c r="A41" s="140">
        <v>22</v>
      </c>
      <c r="B41" s="141">
        <v>41607.333333333336</v>
      </c>
      <c r="C41" s="141">
        <v>41611.333333333336</v>
      </c>
      <c r="D41" s="154">
        <f>(C41-B41)*24</f>
        <v>96</v>
      </c>
      <c r="E41" s="141" t="s">
        <v>71</v>
      </c>
      <c r="F41" s="142"/>
      <c r="G41" s="143"/>
      <c r="H41" s="141"/>
      <c r="I41" s="141"/>
      <c r="J41" s="154">
        <f>(I41-H41)*24</f>
        <v>0</v>
      </c>
      <c r="K41" s="154">
        <f>(I41-H41)*24</f>
        <v>0</v>
      </c>
      <c r="L41" s="144"/>
      <c r="M41" s="145"/>
      <c r="N41" s="145"/>
      <c r="O41" s="146" t="s">
        <v>21</v>
      </c>
      <c r="P41" s="141"/>
      <c r="Q41" s="35">
        <f t="shared" si="7"/>
      </c>
      <c r="R41" s="35">
        <f t="shared" si="11"/>
        <v>1</v>
      </c>
      <c r="S41" s="35">
        <f t="shared" si="12"/>
      </c>
      <c r="T41" s="36">
        <f>SUM(Q41:S41)</f>
        <v>1</v>
      </c>
      <c r="U41" s="136"/>
      <c r="V41" s="136"/>
      <c r="W41" s="136"/>
    </row>
    <row r="42" spans="1:23" s="34" customFormat="1" ht="12.75">
      <c r="A42" s="125"/>
      <c r="B42" s="126"/>
      <c r="C42" s="126"/>
      <c r="D42" s="127">
        <f>SUM(D41:D41)</f>
        <v>96</v>
      </c>
      <c r="E42" s="128"/>
      <c r="F42" s="129"/>
      <c r="G42" s="130"/>
      <c r="H42" s="131"/>
      <c r="I42" s="131"/>
      <c r="J42" s="173">
        <f>SUM(J41:J41)</f>
        <v>0</v>
      </c>
      <c r="K42" s="173">
        <f>SUM(K41:K41)</f>
        <v>0</v>
      </c>
      <c r="L42" s="132"/>
      <c r="M42" s="133"/>
      <c r="N42" s="133"/>
      <c r="O42" s="134"/>
      <c r="P42" s="128"/>
      <c r="Q42" s="35">
        <f t="shared" si="7"/>
      </c>
      <c r="R42" s="35">
        <f t="shared" si="11"/>
      </c>
      <c r="S42" s="35">
        <f t="shared" si="12"/>
      </c>
      <c r="T42" s="36">
        <f>SUM(Q42:S42)</f>
        <v>0</v>
      </c>
      <c r="U42" s="30"/>
      <c r="V42" s="30"/>
      <c r="W42" s="30"/>
    </row>
    <row r="43" spans="1:23" s="139" customFormat="1" ht="12.75">
      <c r="A43" s="147">
        <v>23</v>
      </c>
      <c r="B43" s="148">
        <v>41612.333333333336</v>
      </c>
      <c r="C43" s="148">
        <v>41618.05347222222</v>
      </c>
      <c r="D43" s="94">
        <f>(C43-B43)*24</f>
        <v>137.28333333326736</v>
      </c>
      <c r="E43" s="148" t="s">
        <v>98</v>
      </c>
      <c r="F43" s="149">
        <v>106101</v>
      </c>
      <c r="G43" s="150"/>
      <c r="H43" s="148">
        <v>41618.05347222222</v>
      </c>
      <c r="I43" s="148">
        <v>41618.08472222222</v>
      </c>
      <c r="J43" s="94">
        <f>(I43-H43)*24</f>
        <v>0.75</v>
      </c>
      <c r="K43" s="94">
        <f>(I43-H43)*24</f>
        <v>0.75</v>
      </c>
      <c r="L43" s="151" t="s">
        <v>69</v>
      </c>
      <c r="M43" s="152" t="s">
        <v>69</v>
      </c>
      <c r="N43" s="152" t="s">
        <v>69</v>
      </c>
      <c r="O43" s="153" t="s">
        <v>17</v>
      </c>
      <c r="P43" s="148"/>
      <c r="Q43" s="35">
        <f t="shared" si="7"/>
        <v>1</v>
      </c>
      <c r="R43" s="35">
        <f t="shared" si="11"/>
      </c>
      <c r="S43" s="35">
        <f t="shared" si="12"/>
      </c>
      <c r="T43" s="36">
        <f>SUM(Q43:S43)</f>
        <v>1</v>
      </c>
      <c r="U43" s="138"/>
      <c r="V43" s="138"/>
      <c r="W43" s="138"/>
    </row>
    <row r="44" spans="1:23" s="137" customFormat="1" ht="12.75">
      <c r="A44" s="140">
        <v>24</v>
      </c>
      <c r="B44" s="141">
        <v>41618.08472222222</v>
      </c>
      <c r="C44" s="141">
        <v>41618.333333333336</v>
      </c>
      <c r="D44" s="154">
        <f>(C44-B44)*24</f>
        <v>5.966666666732635</v>
      </c>
      <c r="E44" s="141" t="s">
        <v>71</v>
      </c>
      <c r="F44" s="142"/>
      <c r="G44" s="143"/>
      <c r="H44" s="141"/>
      <c r="I44" s="141"/>
      <c r="J44" s="154">
        <f>(I44-H44)*24</f>
        <v>0</v>
      </c>
      <c r="K44" s="154">
        <f>(I44-H44)*24</f>
        <v>0</v>
      </c>
      <c r="L44" s="144"/>
      <c r="M44" s="145"/>
      <c r="N44" s="145"/>
      <c r="O44" s="146" t="s">
        <v>21</v>
      </c>
      <c r="P44" s="141"/>
      <c r="Q44" s="35">
        <f t="shared" si="7"/>
      </c>
      <c r="R44" s="35">
        <f t="shared" si="11"/>
        <v>1</v>
      </c>
      <c r="S44" s="35">
        <f t="shared" si="12"/>
      </c>
      <c r="T44" s="36">
        <f>SUM(Q44:S44)</f>
        <v>1</v>
      </c>
      <c r="U44" s="136"/>
      <c r="V44" s="136"/>
      <c r="W44" s="136"/>
    </row>
    <row r="45" spans="1:23" s="34" customFormat="1" ht="12.75">
      <c r="A45" s="125"/>
      <c r="B45" s="126"/>
      <c r="C45" s="126"/>
      <c r="D45" s="127">
        <f>SUM(D43:D44)</f>
        <v>143.25</v>
      </c>
      <c r="E45" s="128"/>
      <c r="F45" s="129"/>
      <c r="G45" s="130"/>
      <c r="H45" s="131"/>
      <c r="I45" s="131"/>
      <c r="J45" s="173">
        <f>SUM(J43:J44)</f>
        <v>0.75</v>
      </c>
      <c r="K45" s="173">
        <f>SUM(K43:K44)</f>
        <v>0.75</v>
      </c>
      <c r="L45" s="132"/>
      <c r="M45" s="133"/>
      <c r="N45" s="133"/>
      <c r="O45" s="134"/>
      <c r="P45" s="128"/>
      <c r="Q45" s="35">
        <f t="shared" si="7"/>
      </c>
      <c r="R45" s="35">
        <f t="shared" si="11"/>
      </c>
      <c r="S45" s="35">
        <f t="shared" si="12"/>
      </c>
      <c r="T45" s="36">
        <f>SUM(Q45:S45)</f>
        <v>0</v>
      </c>
      <c r="U45" s="30"/>
      <c r="V45" s="30"/>
      <c r="W45" s="30"/>
    </row>
    <row r="46" spans="1:23" s="139" customFormat="1" ht="12.75">
      <c r="A46" s="147">
        <v>25</v>
      </c>
      <c r="B46" s="148">
        <v>41619.333333333336</v>
      </c>
      <c r="C46" s="148">
        <v>41621.60625</v>
      </c>
      <c r="D46" s="94">
        <f>(C46-B46)*24</f>
        <v>54.54999999987194</v>
      </c>
      <c r="E46" s="148" t="s">
        <v>99</v>
      </c>
      <c r="F46" s="149"/>
      <c r="G46" s="150"/>
      <c r="H46" s="148">
        <v>41621.60625</v>
      </c>
      <c r="I46" s="148">
        <v>41621.71666666667</v>
      </c>
      <c r="J46" s="94">
        <f>(I46-H46)*24</f>
        <v>2.6500000000814907</v>
      </c>
      <c r="K46" s="94"/>
      <c r="L46" s="151"/>
      <c r="M46" s="152"/>
      <c r="N46" s="152"/>
      <c r="O46" s="153"/>
      <c r="P46" s="148"/>
      <c r="Q46" s="35">
        <f t="shared" si="7"/>
      </c>
      <c r="R46" s="35">
        <f t="shared" si="11"/>
      </c>
      <c r="S46" s="35">
        <f t="shared" si="12"/>
      </c>
      <c r="T46" s="36">
        <f aca="true" t="shared" si="14" ref="T46:T52">SUM(Q46:S46)</f>
        <v>0</v>
      </c>
      <c r="U46" s="138"/>
      <c r="V46" s="138"/>
      <c r="W46" s="138"/>
    </row>
    <row r="47" spans="1:23" s="34" customFormat="1" ht="12.75">
      <c r="A47" s="140"/>
      <c r="B47" s="160"/>
      <c r="C47" s="160"/>
      <c r="D47" s="154"/>
      <c r="E47" s="141"/>
      <c r="F47" s="142">
        <v>106103</v>
      </c>
      <c r="G47" s="143"/>
      <c r="H47" s="161">
        <v>41621.60625</v>
      </c>
      <c r="I47" s="161">
        <v>41621.62708333333</v>
      </c>
      <c r="J47" s="162"/>
      <c r="K47" s="162">
        <f>(I47-H47)*24</f>
        <v>0.5000000000582077</v>
      </c>
      <c r="L47" s="163" t="s">
        <v>100</v>
      </c>
      <c r="M47" s="164" t="s">
        <v>100</v>
      </c>
      <c r="N47" s="164" t="s">
        <v>100</v>
      </c>
      <c r="O47" s="192" t="s">
        <v>17</v>
      </c>
      <c r="P47" s="166"/>
      <c r="Q47" s="35">
        <f t="shared" si="7"/>
        <v>1</v>
      </c>
      <c r="R47" s="35">
        <f t="shared" si="11"/>
      </c>
      <c r="S47" s="35">
        <f t="shared" si="12"/>
      </c>
      <c r="T47" s="36">
        <f t="shared" si="14"/>
        <v>1</v>
      </c>
      <c r="U47" s="30"/>
      <c r="V47" s="30"/>
      <c r="W47" s="30"/>
    </row>
    <row r="48" spans="1:23" s="34" customFormat="1" ht="12.75">
      <c r="A48" s="140"/>
      <c r="B48" s="160"/>
      <c r="C48" s="160"/>
      <c r="D48" s="154"/>
      <c r="E48" s="141"/>
      <c r="F48" s="142"/>
      <c r="G48" s="143"/>
      <c r="H48" s="167">
        <v>41621.62708333333</v>
      </c>
      <c r="I48" s="167">
        <v>41621.68125</v>
      </c>
      <c r="J48" s="168"/>
      <c r="K48" s="168">
        <f>(I48-H48)*24</f>
        <v>1.3000000000465661</v>
      </c>
      <c r="L48" s="169" t="s">
        <v>22</v>
      </c>
      <c r="M48" s="170" t="s">
        <v>22</v>
      </c>
      <c r="N48" s="170" t="s">
        <v>22</v>
      </c>
      <c r="O48" s="171" t="s">
        <v>83</v>
      </c>
      <c r="P48" s="172"/>
      <c r="Q48" s="35">
        <f t="shared" si="7"/>
      </c>
      <c r="R48" s="35">
        <f t="shared" si="11"/>
      </c>
      <c r="S48" s="35">
        <f t="shared" si="12"/>
        <v>1</v>
      </c>
      <c r="T48" s="36">
        <f t="shared" si="14"/>
        <v>1</v>
      </c>
      <c r="U48" s="30"/>
      <c r="V48" s="30"/>
      <c r="W48" s="30"/>
    </row>
    <row r="49" spans="1:23" s="34" customFormat="1" ht="12.75">
      <c r="A49" s="140"/>
      <c r="B49" s="160"/>
      <c r="C49" s="160"/>
      <c r="D49" s="154"/>
      <c r="E49" s="141"/>
      <c r="F49" s="142">
        <v>106104</v>
      </c>
      <c r="G49" s="143"/>
      <c r="H49" s="161">
        <v>41621.68125</v>
      </c>
      <c r="I49" s="161">
        <v>41621.70208333333</v>
      </c>
      <c r="J49" s="162"/>
      <c r="K49" s="162">
        <f>(I49-H49)*24</f>
        <v>0.4999999998835847</v>
      </c>
      <c r="L49" s="163" t="s">
        <v>23</v>
      </c>
      <c r="M49" s="164" t="s">
        <v>23</v>
      </c>
      <c r="N49" s="164" t="s">
        <v>23</v>
      </c>
      <c r="O49" s="165" t="s">
        <v>83</v>
      </c>
      <c r="P49" s="166"/>
      <c r="Q49" s="35">
        <f t="shared" si="7"/>
      </c>
      <c r="R49" s="35">
        <f t="shared" si="11"/>
      </c>
      <c r="S49" s="35">
        <f t="shared" si="12"/>
        <v>1</v>
      </c>
      <c r="T49" s="36">
        <f t="shared" si="14"/>
        <v>1</v>
      </c>
      <c r="U49" s="30"/>
      <c r="V49" s="30"/>
      <c r="W49" s="30"/>
    </row>
    <row r="50" spans="1:23" s="34" customFormat="1" ht="12.75">
      <c r="A50" s="140"/>
      <c r="B50" s="160"/>
      <c r="C50" s="160"/>
      <c r="D50" s="154"/>
      <c r="E50" s="141"/>
      <c r="F50" s="142"/>
      <c r="G50" s="143"/>
      <c r="H50" s="167">
        <v>41621.70208333333</v>
      </c>
      <c r="I50" s="195">
        <v>41621.71666666667</v>
      </c>
      <c r="J50" s="168"/>
      <c r="K50" s="168">
        <f>(I50-H50)*24</f>
        <v>0.35000000009313226</v>
      </c>
      <c r="L50" s="169" t="s">
        <v>69</v>
      </c>
      <c r="M50" s="170" t="s">
        <v>69</v>
      </c>
      <c r="N50" s="170" t="s">
        <v>69</v>
      </c>
      <c r="O50" s="171" t="s">
        <v>83</v>
      </c>
      <c r="P50" s="172"/>
      <c r="Q50" s="35">
        <f t="shared" si="7"/>
      </c>
      <c r="R50" s="35">
        <f t="shared" si="11"/>
      </c>
      <c r="S50" s="35">
        <f t="shared" si="12"/>
        <v>1</v>
      </c>
      <c r="T50" s="36">
        <f t="shared" si="14"/>
        <v>1</v>
      </c>
      <c r="U50" s="30"/>
      <c r="V50" s="30"/>
      <c r="W50" s="30"/>
    </row>
    <row r="51" spans="1:23" s="137" customFormat="1" ht="12.75">
      <c r="A51" s="140">
        <v>27</v>
      </c>
      <c r="B51" s="141">
        <v>41621.71666666667</v>
      </c>
      <c r="C51" s="141">
        <v>41624.99930555555</v>
      </c>
      <c r="D51" s="154">
        <f>(C51-B51)*24</f>
        <v>78.78333333326736</v>
      </c>
      <c r="E51" s="141" t="s">
        <v>71</v>
      </c>
      <c r="F51" s="142"/>
      <c r="G51" s="143"/>
      <c r="H51" s="141"/>
      <c r="I51" s="141"/>
      <c r="J51" s="154">
        <f>(I51-H51)*24</f>
        <v>0</v>
      </c>
      <c r="K51" s="154">
        <f>(I51-H51)*24</f>
        <v>0</v>
      </c>
      <c r="L51" s="144"/>
      <c r="M51" s="145"/>
      <c r="N51" s="145"/>
      <c r="O51" s="146" t="s">
        <v>21</v>
      </c>
      <c r="P51" s="141"/>
      <c r="Q51" s="35">
        <f t="shared" si="7"/>
      </c>
      <c r="R51" s="35">
        <f t="shared" si="11"/>
        <v>1</v>
      </c>
      <c r="S51" s="35">
        <f t="shared" si="12"/>
      </c>
      <c r="T51" s="36">
        <f t="shared" si="14"/>
        <v>1</v>
      </c>
      <c r="U51" s="136"/>
      <c r="V51" s="136"/>
      <c r="W51" s="136"/>
    </row>
    <row r="52" spans="1:23" s="34" customFormat="1" ht="12.75">
      <c r="A52" s="125"/>
      <c r="B52" s="126"/>
      <c r="C52" s="126"/>
      <c r="D52" s="127">
        <f>SUM(D46:D51)</f>
        <v>133.3333333331393</v>
      </c>
      <c r="E52" s="128"/>
      <c r="F52" s="129"/>
      <c r="G52" s="130"/>
      <c r="H52" s="131"/>
      <c r="I52" s="131"/>
      <c r="J52" s="173">
        <f>SUM(J46:J51)</f>
        <v>2.6500000000814907</v>
      </c>
      <c r="K52" s="173">
        <f>SUM(K46:K51)</f>
        <v>2.6500000000814907</v>
      </c>
      <c r="L52" s="132"/>
      <c r="M52" s="133"/>
      <c r="N52" s="133"/>
      <c r="O52" s="134"/>
      <c r="P52" s="128"/>
      <c r="Q52" s="35">
        <f t="shared" si="7"/>
      </c>
      <c r="R52" s="35">
        <f t="shared" si="11"/>
      </c>
      <c r="S52" s="35">
        <f t="shared" si="12"/>
      </c>
      <c r="T52" s="36">
        <f t="shared" si="14"/>
        <v>0</v>
      </c>
      <c r="U52" s="30"/>
      <c r="V52" s="30"/>
      <c r="W52" s="30"/>
    </row>
    <row r="53" spans="1:20" ht="12.75">
      <c r="A53" s="85"/>
      <c r="B53" s="86"/>
      <c r="C53" s="86"/>
      <c r="D53" s="49"/>
      <c r="E53" s="87"/>
      <c r="F53" s="88"/>
      <c r="G53" s="89"/>
      <c r="H53" s="86"/>
      <c r="I53" s="86"/>
      <c r="J53" s="90"/>
      <c r="K53" s="90"/>
      <c r="L53" s="91"/>
      <c r="M53" s="92"/>
      <c r="N53" s="92"/>
      <c r="O53" s="93"/>
      <c r="P53" s="87"/>
      <c r="Q53" s="30"/>
      <c r="R53" s="30"/>
      <c r="S53" s="30"/>
      <c r="T53" s="30"/>
    </row>
    <row r="54" spans="1:18" ht="12.75">
      <c r="A54" s="28"/>
      <c r="B54" s="14"/>
      <c r="C54" s="37" t="s">
        <v>26</v>
      </c>
      <c r="D54" s="38">
        <f>Q56</f>
        <v>15</v>
      </c>
      <c r="E54" s="16"/>
      <c r="F54" s="29"/>
      <c r="G54" s="18"/>
      <c r="H54" s="19"/>
      <c r="I54" s="19"/>
      <c r="J54" s="39" t="s">
        <v>27</v>
      </c>
      <c r="K54" s="40"/>
      <c r="L54" s="21"/>
      <c r="M54" s="22"/>
      <c r="N54" s="22"/>
      <c r="O54" s="41"/>
      <c r="P54" s="23"/>
      <c r="R54" s="12">
        <f>IF($L54="Scheduled",1,"")</f>
      </c>
    </row>
    <row r="55" spans="1:18" ht="12.75">
      <c r="A55" s="28"/>
      <c r="B55" s="14"/>
      <c r="C55" s="37" t="s">
        <v>28</v>
      </c>
      <c r="D55" s="38">
        <f>D56-D54</f>
        <v>10</v>
      </c>
      <c r="E55" s="16"/>
      <c r="F55" s="29"/>
      <c r="G55" s="18"/>
      <c r="H55" s="19"/>
      <c r="I55" s="19"/>
      <c r="J55" s="15" t="s">
        <v>29</v>
      </c>
      <c r="K55" s="42" t="s">
        <v>13</v>
      </c>
      <c r="L55" s="21"/>
      <c r="M55" s="22"/>
      <c r="N55" s="22"/>
      <c r="O55" s="41"/>
      <c r="P55" s="23"/>
      <c r="R55" s="12">
        <f>IF($L55="Scheduled",1,"")</f>
      </c>
    </row>
    <row r="56" spans="1:29" ht="12.75">
      <c r="A56" s="28"/>
      <c r="B56" s="14"/>
      <c r="C56" s="37" t="s">
        <v>30</v>
      </c>
      <c r="D56" s="43">
        <f>COUNT(A6:A53)</f>
        <v>25</v>
      </c>
      <c r="E56" s="16"/>
      <c r="F56" s="29"/>
      <c r="G56" s="18"/>
      <c r="H56" s="19"/>
      <c r="I56" s="19"/>
      <c r="J56" s="44">
        <f>SUM(J5:J53)/2</f>
        <v>33.516666666429956</v>
      </c>
      <c r="K56" s="44">
        <f>SUM(K5:K53)/2</f>
        <v>33.516666666429956</v>
      </c>
      <c r="L56" s="21"/>
      <c r="M56" s="22"/>
      <c r="N56" s="22"/>
      <c r="O56" s="41"/>
      <c r="P56" s="23"/>
      <c r="Q56" s="43">
        <f>SUM(Q1:Q53)</f>
        <v>15</v>
      </c>
      <c r="R56" s="43">
        <f>SUM(R1:R53)</f>
        <v>10</v>
      </c>
      <c r="S56" s="43">
        <f>SUM(S1:S53)</f>
        <v>9</v>
      </c>
      <c r="T56" s="43">
        <f>SUM(T1:T53)</f>
        <v>31</v>
      </c>
      <c r="AA56" s="30"/>
      <c r="AB56" s="30"/>
      <c r="AC56" s="30"/>
    </row>
    <row r="57" spans="1:19" ht="12.75">
      <c r="A57" s="28"/>
      <c r="B57" s="14"/>
      <c r="C57" s="37"/>
      <c r="D57" s="15"/>
      <c r="E57" s="16"/>
      <c r="F57" s="29"/>
      <c r="G57" s="18"/>
      <c r="H57" s="19"/>
      <c r="I57" s="19"/>
      <c r="J57" s="15"/>
      <c r="K57" s="20"/>
      <c r="L57" s="21"/>
      <c r="M57" s="22"/>
      <c r="N57" s="22"/>
      <c r="O57" s="21"/>
      <c r="P57" s="23"/>
      <c r="Q57" s="12" t="s">
        <v>31</v>
      </c>
      <c r="R57" s="45" t="s">
        <v>21</v>
      </c>
      <c r="S57" s="12" t="s">
        <v>32</v>
      </c>
    </row>
    <row r="58" spans="1:26" ht="12.75">
      <c r="A58" s="28"/>
      <c r="B58" s="14"/>
      <c r="C58" s="37" t="s">
        <v>33</v>
      </c>
      <c r="D58" s="15">
        <f>SUM(D6:D53)/2</f>
        <v>1511.4666666667326</v>
      </c>
      <c r="E58" s="46">
        <f>D58/24</f>
        <v>62.977777777780524</v>
      </c>
      <c r="F58" s="47" t="s">
        <v>34</v>
      </c>
      <c r="G58" s="18"/>
      <c r="H58" s="19"/>
      <c r="I58" s="19"/>
      <c r="J58" s="15"/>
      <c r="K58" s="20"/>
      <c r="L58" s="21"/>
      <c r="M58" s="22"/>
      <c r="N58" s="22"/>
      <c r="O58" s="21"/>
      <c r="P58" s="23"/>
      <c r="Q58" s="12">
        <f>IF($O60="Store Lost",1,"")</f>
      </c>
      <c r="T58" s="48"/>
      <c r="U58" s="30"/>
      <c r="V58" s="30"/>
      <c r="W58" s="30"/>
      <c r="X58" s="30"/>
      <c r="Y58" s="30"/>
      <c r="Z58" s="30"/>
    </row>
    <row r="59" spans="1:17" ht="12.75">
      <c r="A59" s="28"/>
      <c r="B59" s="14"/>
      <c r="C59" s="37" t="s">
        <v>35</v>
      </c>
      <c r="D59" s="15">
        <f>J56</f>
        <v>33.516666666429956</v>
      </c>
      <c r="E59" s="16" t="s">
        <v>36</v>
      </c>
      <c r="F59" s="29"/>
      <c r="G59" s="18"/>
      <c r="H59" s="19"/>
      <c r="I59" s="19"/>
      <c r="J59" s="15"/>
      <c r="K59" s="20"/>
      <c r="L59" s="21"/>
      <c r="M59" s="22"/>
      <c r="N59" s="22"/>
      <c r="O59" s="21"/>
      <c r="P59" s="23"/>
      <c r="Q59" s="12">
        <f>IF($O61="Store Lost",1,"")</f>
      </c>
    </row>
    <row r="60" spans="1:17" ht="12.75">
      <c r="A60" s="28"/>
      <c r="B60" s="14"/>
      <c r="C60" s="37" t="s">
        <v>37</v>
      </c>
      <c r="D60" s="43">
        <f>SUM(D58:D59)</f>
        <v>1544.9833333331626</v>
      </c>
      <c r="E60" s="46"/>
      <c r="F60" s="29"/>
      <c r="G60" s="18"/>
      <c r="H60" s="19"/>
      <c r="I60" s="19"/>
      <c r="J60" s="15"/>
      <c r="K60" s="20"/>
      <c r="L60" s="21"/>
      <c r="M60" s="22"/>
      <c r="N60" s="22"/>
      <c r="O60" s="21"/>
      <c r="P60" s="23"/>
      <c r="Q60" s="12" t="e">
        <f>IF(#REF!="Store Lost",1,"")</f>
        <v>#REF!</v>
      </c>
    </row>
    <row r="61" spans="1:18" ht="12.75">
      <c r="A61" s="28"/>
      <c r="B61" s="14"/>
      <c r="C61" s="37"/>
      <c r="D61" s="49"/>
      <c r="E61" s="50"/>
      <c r="F61" s="29"/>
      <c r="G61" s="18"/>
      <c r="H61" s="15"/>
      <c r="I61" s="19"/>
      <c r="J61" s="15"/>
      <c r="K61" s="20"/>
      <c r="L61" s="21"/>
      <c r="M61" s="22"/>
      <c r="N61" s="22"/>
      <c r="O61" s="21"/>
      <c r="P61" s="23"/>
      <c r="Q61" s="51">
        <f>Q56+R56</f>
        <v>25</v>
      </c>
      <c r="R61" s="12">
        <f>IF($P62="Store Lost",1,"")</f>
      </c>
    </row>
    <row r="62" spans="1:18" ht="12.75">
      <c r="A62" s="28"/>
      <c r="B62" s="14"/>
      <c r="C62" s="37" t="s">
        <v>38</v>
      </c>
      <c r="D62" s="52">
        <f>IF(D54,D58/D54,D58)</f>
        <v>100.76444444444884</v>
      </c>
      <c r="E62" s="16"/>
      <c r="F62" s="29"/>
      <c r="G62" s="18"/>
      <c r="J62" s="7"/>
      <c r="K62" s="53"/>
      <c r="Q62" s="23"/>
      <c r="R62" s="12">
        <f>IF($P64="Store Lost",1,"")</f>
      </c>
    </row>
    <row r="63" spans="1:18" ht="12.75">
      <c r="A63" s="28"/>
      <c r="B63" s="14"/>
      <c r="C63" s="37" t="s">
        <v>39</v>
      </c>
      <c r="D63" s="49">
        <f>IF(D54,24/D62,0)</f>
        <v>0.23817925194070944</v>
      </c>
      <c r="E63" s="54"/>
      <c r="F63" s="55"/>
      <c r="G63" s="56"/>
      <c r="K63" s="53"/>
      <c r="Q63" s="23"/>
      <c r="R63" s="12" t="e">
        <f>NA()</f>
        <v>#N/A</v>
      </c>
    </row>
    <row r="64" spans="1:18" ht="27" customHeight="1">
      <c r="A64" s="28"/>
      <c r="B64" s="14"/>
      <c r="C64" s="37" t="s">
        <v>40</v>
      </c>
      <c r="D64" s="57">
        <f>D58/D60</f>
        <v>0.9783061305948714</v>
      </c>
      <c r="E64" s="58"/>
      <c r="F64" s="29"/>
      <c r="G64" s="18"/>
      <c r="K64" s="53"/>
      <c r="Q64" s="23"/>
      <c r="R64" s="12" t="e">
        <f>NA()</f>
        <v>#N/A</v>
      </c>
    </row>
    <row r="65" spans="1:18" ht="12.75">
      <c r="A65" s="28"/>
      <c r="B65" s="14"/>
      <c r="C65" s="14"/>
      <c r="D65" s="15"/>
      <c r="E65" s="16"/>
      <c r="F65" s="29"/>
      <c r="G65" s="18"/>
      <c r="K65" s="53"/>
      <c r="Q65" s="23"/>
      <c r="R65" s="12">
        <f aca="true" t="shared" si="15" ref="R65:R74">IF($P67="Store Lost",1,"")</f>
      </c>
    </row>
    <row r="66" spans="1:29" s="59" customFormat="1" ht="12.75">
      <c r="A66" s="28"/>
      <c r="B66" s="14"/>
      <c r="C66" s="14"/>
      <c r="D66" s="15"/>
      <c r="E66" s="16"/>
      <c r="F66" s="29"/>
      <c r="G66" s="18"/>
      <c r="H66" s="7"/>
      <c r="I66" s="7"/>
      <c r="J66" s="3"/>
      <c r="K66" s="53"/>
      <c r="L66" s="9"/>
      <c r="M66" s="10"/>
      <c r="N66" s="10"/>
      <c r="O66" s="9"/>
      <c r="P66" s="11"/>
      <c r="Q66" s="23"/>
      <c r="R66" s="12">
        <f t="shared" si="15"/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18" ht="12.75">
      <c r="A67" s="28"/>
      <c r="B67" s="14"/>
      <c r="C67" s="14"/>
      <c r="D67" s="15"/>
      <c r="E67" s="16"/>
      <c r="F67" s="29"/>
      <c r="G67" s="18"/>
      <c r="K67" s="53"/>
      <c r="Q67" s="23"/>
      <c r="R67" s="12">
        <f t="shared" si="15"/>
      </c>
    </row>
    <row r="68" spans="1:18" ht="12.75">
      <c r="A68" s="28"/>
      <c r="B68" s="14"/>
      <c r="C68" s="14"/>
      <c r="D68" s="15"/>
      <c r="E68" s="16"/>
      <c r="F68" s="29"/>
      <c r="G68" s="18"/>
      <c r="K68" s="53"/>
      <c r="Q68" s="23"/>
      <c r="R68" s="12">
        <f t="shared" si="15"/>
      </c>
    </row>
    <row r="69" spans="1:18" ht="12.75">
      <c r="A69" s="28"/>
      <c r="B69" s="14"/>
      <c r="C69" s="14"/>
      <c r="D69" s="15"/>
      <c r="E69" s="16"/>
      <c r="F69" s="29"/>
      <c r="G69" s="18"/>
      <c r="K69" s="53"/>
      <c r="Q69" s="23"/>
      <c r="R69" s="12">
        <f t="shared" si="15"/>
      </c>
    </row>
    <row r="70" spans="1:18" ht="12.75">
      <c r="A70" s="28"/>
      <c r="B70" s="14"/>
      <c r="C70" s="14"/>
      <c r="D70" s="15"/>
      <c r="E70" s="16"/>
      <c r="F70" s="29"/>
      <c r="G70" s="18"/>
      <c r="K70" s="53"/>
      <c r="Q70" s="23"/>
      <c r="R70" s="12">
        <f t="shared" si="15"/>
      </c>
    </row>
    <row r="71" spans="1:18" ht="12.75">
      <c r="A71" s="28"/>
      <c r="B71" s="14"/>
      <c r="C71" s="14"/>
      <c r="D71" s="15"/>
      <c r="E71" s="16"/>
      <c r="F71" s="29"/>
      <c r="G71" s="18"/>
      <c r="K71" s="53"/>
      <c r="Q71" s="23"/>
      <c r="R71" s="12">
        <f t="shared" si="15"/>
      </c>
    </row>
    <row r="72" spans="1:18" ht="12.75">
      <c r="A72" s="28"/>
      <c r="B72" s="14"/>
      <c r="C72" s="14"/>
      <c r="D72" s="15"/>
      <c r="E72" s="16"/>
      <c r="F72" s="29"/>
      <c r="G72" s="18"/>
      <c r="K72" s="53"/>
      <c r="Q72" s="23"/>
      <c r="R72" s="12">
        <f t="shared" si="15"/>
      </c>
    </row>
    <row r="73" spans="1:18" ht="12.75">
      <c r="A73" s="28"/>
      <c r="B73" s="14"/>
      <c r="C73" s="14"/>
      <c r="D73" s="15"/>
      <c r="E73" s="16"/>
      <c r="F73" s="29"/>
      <c r="G73" s="18"/>
      <c r="K73" s="53"/>
      <c r="Q73" s="23"/>
      <c r="R73" s="12">
        <f t="shared" si="15"/>
      </c>
    </row>
    <row r="74" spans="1:18" ht="12.75">
      <c r="A74" s="28"/>
      <c r="B74" s="14"/>
      <c r="C74" s="14"/>
      <c r="D74" s="15"/>
      <c r="E74" s="16"/>
      <c r="F74" s="29"/>
      <c r="G74" s="18"/>
      <c r="K74" s="53"/>
      <c r="Q74" s="23"/>
      <c r="R74" s="12">
        <f t="shared" si="15"/>
      </c>
    </row>
    <row r="75" spans="1:29" s="60" customFormat="1" ht="12.75">
      <c r="A75" s="28"/>
      <c r="B75" s="14"/>
      <c r="C75" s="14"/>
      <c r="D75" s="15"/>
      <c r="E75" s="16"/>
      <c r="F75" s="29"/>
      <c r="G75" s="18"/>
      <c r="H75" s="7"/>
      <c r="I75" s="7"/>
      <c r="J75" s="3"/>
      <c r="K75" s="53"/>
      <c r="L75" s="9"/>
      <c r="M75" s="10"/>
      <c r="N75" s="10"/>
      <c r="O75" s="9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s="30" customFormat="1" ht="12.75">
      <c r="A76" s="28"/>
      <c r="B76" s="14"/>
      <c r="C76" s="14"/>
      <c r="D76" s="15"/>
      <c r="E76" s="16"/>
      <c r="F76" s="29"/>
      <c r="G76" s="18"/>
      <c r="H76" s="7"/>
      <c r="I76" s="7"/>
      <c r="J76" s="3"/>
      <c r="K76" s="53"/>
      <c r="L76" s="9"/>
      <c r="M76" s="10"/>
      <c r="N76" s="10"/>
      <c r="O76" s="9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59"/>
      <c r="AB76" s="59"/>
      <c r="AC76" s="59"/>
    </row>
    <row r="77" spans="1:16" ht="12.75">
      <c r="A77" s="28"/>
      <c r="B77" s="14"/>
      <c r="C77" s="14"/>
      <c r="D77" s="15"/>
      <c r="E77" s="16"/>
      <c r="F77" s="29"/>
      <c r="G77" s="18"/>
      <c r="H77" s="19"/>
      <c r="I77" s="19"/>
      <c r="J77" s="15"/>
      <c r="K77" s="20"/>
      <c r="L77" s="21"/>
      <c r="M77" s="22"/>
      <c r="N77" s="22"/>
      <c r="O77" s="21"/>
      <c r="P77" s="23"/>
    </row>
    <row r="78" spans="1:26" ht="12.75">
      <c r="A78" s="28"/>
      <c r="B78" s="14"/>
      <c r="C78" s="14"/>
      <c r="E78" s="16"/>
      <c r="F78" s="29"/>
      <c r="G78" s="18"/>
      <c r="H78" s="19"/>
      <c r="I78" s="19"/>
      <c r="L78" s="21"/>
      <c r="M78" s="22"/>
      <c r="N78" s="22"/>
      <c r="O78" s="21"/>
      <c r="P78" s="23"/>
      <c r="U78" s="59"/>
      <c r="V78" s="59"/>
      <c r="W78" s="59"/>
      <c r="X78" s="59"/>
      <c r="Y78" s="59"/>
      <c r="Z78" s="59"/>
    </row>
    <row r="79" spans="1:16" ht="12.75">
      <c r="A79" s="28"/>
      <c r="B79" s="14"/>
      <c r="C79" s="14"/>
      <c r="E79" s="16"/>
      <c r="F79" s="29"/>
      <c r="G79" s="18"/>
      <c r="H79" s="19"/>
      <c r="I79" s="19"/>
      <c r="L79" s="21"/>
      <c r="M79" s="22"/>
      <c r="N79" s="22"/>
      <c r="O79" s="21"/>
      <c r="P79" s="23"/>
    </row>
    <row r="80" spans="1:16" ht="12.75">
      <c r="A80" s="28"/>
      <c r="B80" s="14"/>
      <c r="C80" s="14"/>
      <c r="E80" s="16"/>
      <c r="F80" s="29"/>
      <c r="G80" s="18"/>
      <c r="H80" s="19"/>
      <c r="I80" s="19"/>
      <c r="L80" s="21"/>
      <c r="M80" s="22"/>
      <c r="N80" s="22"/>
      <c r="O80" s="21"/>
      <c r="P80" s="23"/>
    </row>
    <row r="81" spans="1:16" ht="12.75">
      <c r="A81" s="28"/>
      <c r="B81" s="14"/>
      <c r="C81" s="14"/>
      <c r="F81" s="29"/>
      <c r="G81" s="18"/>
      <c r="H81" s="19"/>
      <c r="I81" s="19"/>
      <c r="L81" s="21"/>
      <c r="M81" s="22"/>
      <c r="N81" s="22"/>
      <c r="O81" s="21"/>
      <c r="P81" s="23"/>
    </row>
    <row r="82" spans="1:20" ht="12.75">
      <c r="A82" s="28"/>
      <c r="B82" s="14"/>
      <c r="C82" s="14"/>
      <c r="F82" s="29"/>
      <c r="G82" s="18"/>
      <c r="H82" s="19"/>
      <c r="I82" s="19"/>
      <c r="L82" s="21"/>
      <c r="M82" s="22"/>
      <c r="N82" s="22"/>
      <c r="O82" s="21"/>
      <c r="P82" s="23"/>
      <c r="R82" s="59"/>
      <c r="S82" s="59"/>
      <c r="T82" s="59"/>
    </row>
    <row r="83" spans="2:16" ht="12.75">
      <c r="B83" s="14"/>
      <c r="C83" s="14"/>
      <c r="F83" s="29"/>
      <c r="G83" s="18"/>
      <c r="H83" s="19"/>
      <c r="I83" s="19"/>
      <c r="L83" s="21"/>
      <c r="M83" s="22"/>
      <c r="N83" s="22"/>
      <c r="O83" s="21"/>
      <c r="P83" s="23"/>
    </row>
    <row r="84" spans="2:17" ht="12.75">
      <c r="B84" s="14"/>
      <c r="C84" s="14"/>
      <c r="F84" s="29"/>
      <c r="G84" s="18"/>
      <c r="H84" s="19"/>
      <c r="I84" s="19"/>
      <c r="L84" s="21"/>
      <c r="M84" s="22"/>
      <c r="N84" s="22"/>
      <c r="O84" s="21"/>
      <c r="P84" s="23"/>
      <c r="Q84" s="12">
        <f aca="true" t="shared" si="16" ref="Q84:Q115">IF($O86="Store Lost",1,"")</f>
      </c>
    </row>
    <row r="85" spans="2:29" ht="12.75">
      <c r="B85" s="14"/>
      <c r="C85" s="14"/>
      <c r="F85" s="29"/>
      <c r="G85" s="18"/>
      <c r="H85" s="19"/>
      <c r="I85" s="19"/>
      <c r="L85" s="21"/>
      <c r="M85" s="22"/>
      <c r="N85" s="22"/>
      <c r="O85" s="21"/>
      <c r="P85" s="23"/>
      <c r="Q85" s="12">
        <f t="shared" si="16"/>
      </c>
      <c r="AA85" s="60"/>
      <c r="AB85" s="60"/>
      <c r="AC85" s="60"/>
    </row>
    <row r="86" spans="2:29" ht="12.75">
      <c r="B86" s="14"/>
      <c r="C86" s="14"/>
      <c r="Q86" s="12">
        <f t="shared" si="16"/>
      </c>
      <c r="AA86" s="30"/>
      <c r="AB86" s="30"/>
      <c r="AC86" s="30"/>
    </row>
    <row r="87" spans="17:26" ht="12.75">
      <c r="Q87" s="12">
        <f t="shared" si="16"/>
      </c>
      <c r="U87" s="60"/>
      <c r="V87" s="60"/>
      <c r="W87" s="60"/>
      <c r="X87" s="60"/>
      <c r="Y87" s="60"/>
      <c r="Z87" s="60"/>
    </row>
    <row r="88" spans="17:26" ht="12.75">
      <c r="Q88" s="12">
        <f t="shared" si="16"/>
      </c>
      <c r="U88" s="30"/>
      <c r="V88" s="30"/>
      <c r="W88" s="30"/>
      <c r="X88" s="30"/>
      <c r="Y88" s="30"/>
      <c r="Z88" s="30"/>
    </row>
    <row r="89" spans="1:29" s="59" customFormat="1" ht="12.75">
      <c r="A89" s="1"/>
      <c r="B89" s="2"/>
      <c r="C89" s="2"/>
      <c r="D89" s="3"/>
      <c r="E89" s="4"/>
      <c r="F89" s="5"/>
      <c r="G89" s="6"/>
      <c r="H89" s="7"/>
      <c r="I89" s="7"/>
      <c r="J89" s="3"/>
      <c r="K89" s="8"/>
      <c r="L89" s="9"/>
      <c r="M89" s="10"/>
      <c r="N89" s="10"/>
      <c r="O89" s="9"/>
      <c r="P89" s="11"/>
      <c r="Q89" s="12">
        <f t="shared" si="16"/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ht="12.75">
      <c r="Q90" s="12">
        <f t="shared" si="16"/>
      </c>
    </row>
    <row r="91" spans="17:20" ht="12.75">
      <c r="Q91" s="12">
        <f t="shared" si="16"/>
      </c>
      <c r="R91" s="60"/>
      <c r="S91" s="60"/>
      <c r="T91" s="60"/>
    </row>
    <row r="92" spans="17:20" ht="12.75">
      <c r="Q92" s="12">
        <f t="shared" si="16"/>
      </c>
      <c r="R92" s="30"/>
      <c r="S92" s="30"/>
      <c r="T92" s="30"/>
    </row>
    <row r="93" ht="12.75">
      <c r="Q93" s="12">
        <f t="shared" si="16"/>
      </c>
    </row>
    <row r="94" ht="12.75">
      <c r="Q94" s="12">
        <f t="shared" si="16"/>
      </c>
    </row>
    <row r="95" ht="12.75">
      <c r="Q95" s="12">
        <f t="shared" si="16"/>
      </c>
    </row>
    <row r="96" ht="12.75">
      <c r="Q96" s="12">
        <f t="shared" si="16"/>
      </c>
    </row>
    <row r="97" ht="12.75">
      <c r="Q97" s="12">
        <f t="shared" si="16"/>
      </c>
    </row>
    <row r="98" ht="12.75">
      <c r="Q98" s="12">
        <f t="shared" si="16"/>
      </c>
    </row>
    <row r="99" spans="17:29" ht="12.75">
      <c r="Q99" s="12">
        <f t="shared" si="16"/>
      </c>
      <c r="AA99" s="59"/>
      <c r="AB99" s="59"/>
      <c r="AC99" s="59"/>
    </row>
    <row r="100" ht="12.75">
      <c r="Q100" s="12">
        <f t="shared" si="16"/>
      </c>
    </row>
    <row r="101" spans="17:26" ht="12.75">
      <c r="Q101" s="12">
        <f t="shared" si="16"/>
      </c>
      <c r="U101" s="59"/>
      <c r="V101" s="59"/>
      <c r="W101" s="59"/>
      <c r="X101" s="59"/>
      <c r="Y101" s="59"/>
      <c r="Z101" s="59"/>
    </row>
    <row r="102" spans="1:29" s="59" customFormat="1" ht="12.75">
      <c r="A102" s="1"/>
      <c r="B102" s="2"/>
      <c r="C102" s="2"/>
      <c r="D102" s="3"/>
      <c r="E102" s="4"/>
      <c r="F102" s="5"/>
      <c r="G102" s="6"/>
      <c r="H102" s="7"/>
      <c r="I102" s="7"/>
      <c r="J102" s="3"/>
      <c r="K102" s="8"/>
      <c r="L102" s="9"/>
      <c r="M102" s="10"/>
      <c r="N102" s="10"/>
      <c r="O102" s="9"/>
      <c r="P102" s="11"/>
      <c r="Q102" s="12">
        <f t="shared" si="16"/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s="30" customFormat="1" ht="12.75">
      <c r="A103" s="1"/>
      <c r="B103" s="2"/>
      <c r="C103" s="2"/>
      <c r="D103" s="3"/>
      <c r="E103" s="4"/>
      <c r="F103" s="5"/>
      <c r="G103" s="6"/>
      <c r="H103" s="7"/>
      <c r="I103" s="7"/>
      <c r="J103" s="3"/>
      <c r="K103" s="8"/>
      <c r="L103" s="9"/>
      <c r="M103" s="10"/>
      <c r="N103" s="10"/>
      <c r="O103" s="9"/>
      <c r="P103" s="11"/>
      <c r="Q103" s="12">
        <f t="shared" si="16"/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s="59" customFormat="1" ht="12.75">
      <c r="A104" s="1"/>
      <c r="B104" s="2"/>
      <c r="C104" s="2"/>
      <c r="D104" s="3"/>
      <c r="E104" s="4"/>
      <c r="F104" s="5"/>
      <c r="G104" s="6"/>
      <c r="H104" s="7"/>
      <c r="I104" s="7"/>
      <c r="J104" s="3"/>
      <c r="K104" s="8"/>
      <c r="L104" s="9"/>
      <c r="M104" s="10"/>
      <c r="N104" s="10"/>
      <c r="O104" s="9"/>
      <c r="P104" s="11"/>
      <c r="Q104" s="12">
        <f t="shared" si="16"/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7:20" ht="12.75">
      <c r="Q105" s="12">
        <f t="shared" si="16"/>
      </c>
      <c r="R105" s="59"/>
      <c r="S105" s="59"/>
      <c r="T105" s="59"/>
    </row>
    <row r="106" ht="12.75">
      <c r="Q106" s="12">
        <f t="shared" si="16"/>
      </c>
    </row>
    <row r="107" ht="12.75">
      <c r="Q107" s="12">
        <f t="shared" si="16"/>
      </c>
    </row>
    <row r="108" ht="12.75">
      <c r="Q108" s="12">
        <f t="shared" si="16"/>
      </c>
    </row>
    <row r="109" ht="12.75">
      <c r="Q109" s="12">
        <f t="shared" si="16"/>
      </c>
    </row>
    <row r="110" ht="12.75">
      <c r="Q110" s="12">
        <f t="shared" si="16"/>
      </c>
    </row>
    <row r="111" ht="12.75">
      <c r="Q111" s="12">
        <f t="shared" si="16"/>
      </c>
    </row>
    <row r="112" spans="17:29" ht="12.75">
      <c r="Q112" s="12">
        <f t="shared" si="16"/>
      </c>
      <c r="AA112" s="59"/>
      <c r="AB112" s="59"/>
      <c r="AC112" s="59"/>
    </row>
    <row r="113" spans="17:29" ht="12.75">
      <c r="Q113" s="12">
        <f t="shared" si="16"/>
      </c>
      <c r="AA113" s="30"/>
      <c r="AB113" s="30"/>
      <c r="AC113" s="30"/>
    </row>
    <row r="114" spans="17:29" ht="12.75">
      <c r="Q114" s="12">
        <f t="shared" si="16"/>
      </c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17:26" ht="12.75">
      <c r="Q115" s="12">
        <f t="shared" si="16"/>
      </c>
      <c r="U115" s="30"/>
      <c r="V115" s="30"/>
      <c r="W115" s="30"/>
      <c r="X115" s="30"/>
      <c r="Y115" s="30"/>
      <c r="Z115" s="30"/>
    </row>
    <row r="116" spans="17:26" ht="12.75">
      <c r="Q116" s="12">
        <f aca="true" t="shared" si="17" ref="Q116:Q141">IF($O118="Store Lost",1,"")</f>
      </c>
      <c r="U116" s="59"/>
      <c r="V116" s="59"/>
      <c r="W116" s="59"/>
      <c r="X116" s="59"/>
      <c r="Y116" s="59"/>
      <c r="Z116" s="59"/>
    </row>
    <row r="117" ht="12.75">
      <c r="Q117" s="12">
        <f t="shared" si="17"/>
      </c>
    </row>
    <row r="118" spans="17:20" ht="12.75">
      <c r="Q118" s="12">
        <f t="shared" si="17"/>
      </c>
      <c r="R118" s="59"/>
      <c r="S118" s="59"/>
      <c r="T118" s="59"/>
    </row>
    <row r="119" spans="17:20" ht="12.75">
      <c r="Q119" s="12">
        <f t="shared" si="17"/>
      </c>
      <c r="R119" s="30"/>
      <c r="S119" s="30"/>
      <c r="T119" s="30"/>
    </row>
    <row r="120" spans="17:20" ht="12.75">
      <c r="Q120" s="12">
        <f t="shared" si="17"/>
      </c>
      <c r="R120" s="59"/>
      <c r="S120" s="59"/>
      <c r="T120" s="59"/>
    </row>
    <row r="121" ht="12.75">
      <c r="Q121" s="12">
        <f t="shared" si="17"/>
      </c>
    </row>
    <row r="122" ht="12.75">
      <c r="Q122" s="12">
        <f t="shared" si="17"/>
      </c>
    </row>
    <row r="123" ht="12.75">
      <c r="Q123" s="12">
        <f t="shared" si="17"/>
      </c>
    </row>
    <row r="124" ht="12.75">
      <c r="Q124" s="12">
        <f t="shared" si="17"/>
      </c>
    </row>
    <row r="125" spans="1:29" s="59" customFormat="1" ht="12.75">
      <c r="A125" s="1"/>
      <c r="B125" s="2"/>
      <c r="C125" s="2"/>
      <c r="D125" s="3"/>
      <c r="E125" s="4"/>
      <c r="F125" s="5"/>
      <c r="G125" s="6"/>
      <c r="H125" s="7"/>
      <c r="I125" s="7"/>
      <c r="J125" s="3"/>
      <c r="K125" s="8"/>
      <c r="L125" s="9"/>
      <c r="M125" s="10"/>
      <c r="N125" s="10"/>
      <c r="O125" s="9"/>
      <c r="P125" s="11"/>
      <c r="Q125" s="12">
        <f t="shared" si="17"/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ht="12.75">
      <c r="Q126" s="12">
        <f t="shared" si="17"/>
      </c>
    </row>
    <row r="127" ht="12.75">
      <c r="Q127" s="12">
        <f t="shared" si="17"/>
      </c>
    </row>
    <row r="128" ht="12.75">
      <c r="Q128" s="12">
        <f t="shared" si="17"/>
      </c>
    </row>
    <row r="129" ht="12.75">
      <c r="Q129" s="12">
        <f t="shared" si="17"/>
      </c>
    </row>
    <row r="130" ht="12.75">
      <c r="Q130" s="12">
        <f t="shared" si="17"/>
      </c>
    </row>
    <row r="131" ht="12.75">
      <c r="Q131" s="12">
        <f t="shared" si="17"/>
      </c>
    </row>
    <row r="132" ht="12.75">
      <c r="Q132" s="12">
        <f t="shared" si="17"/>
      </c>
    </row>
    <row r="133" ht="12.75">
      <c r="Q133" s="12">
        <f t="shared" si="17"/>
      </c>
    </row>
    <row r="134" ht="12.75">
      <c r="Q134" s="12">
        <f t="shared" si="17"/>
      </c>
    </row>
    <row r="135" spans="17:29" ht="12.75">
      <c r="Q135" s="12">
        <f t="shared" si="17"/>
      </c>
      <c r="AA135" s="59"/>
      <c r="AB135" s="59"/>
      <c r="AC135" s="59"/>
    </row>
    <row r="136" ht="12.75">
      <c r="Q136" s="12">
        <f t="shared" si="17"/>
      </c>
    </row>
    <row r="137" spans="17:26" ht="12.75">
      <c r="Q137" s="12">
        <f t="shared" si="17"/>
      </c>
      <c r="U137" s="59"/>
      <c r="V137" s="59"/>
      <c r="W137" s="59"/>
      <c r="X137" s="59"/>
      <c r="Y137" s="59"/>
      <c r="Z137" s="59"/>
    </row>
    <row r="138" ht="12.75">
      <c r="Q138" s="12">
        <f t="shared" si="17"/>
      </c>
    </row>
    <row r="139" ht="12.75">
      <c r="Q139" s="12">
        <f t="shared" si="17"/>
      </c>
    </row>
    <row r="140" ht="12.75">
      <c r="Q140" s="12">
        <f t="shared" si="17"/>
      </c>
    </row>
    <row r="141" spans="17:20" ht="12.75">
      <c r="Q141" s="12">
        <f t="shared" si="17"/>
      </c>
      <c r="R141" s="59"/>
      <c r="S141" s="59"/>
      <c r="T141" s="59"/>
    </row>
    <row r="145" ht="12.75">
      <c r="Q145" s="12">
        <f>COUNT(Q6:Q141)</f>
        <v>17</v>
      </c>
    </row>
  </sheetData>
  <sheetProtection/>
  <mergeCells count="1">
    <mergeCell ref="A2:I2"/>
  </mergeCells>
  <printOptions/>
  <pageMargins left="0" right="0" top="0" bottom="0.15" header="0.25" footer="0.15"/>
  <pageSetup fitToHeight="0" fitToWidth="1" horizontalDpi="300" verticalDpi="300" orientation="landscape" paperSize="5" scale="70" r:id="rId2"/>
  <headerFooter alignWithMargins="0">
    <oddFooter>&amp;RUpdated &amp;D</oddFooter>
  </headerFooter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4"/>
  <sheetViews>
    <sheetView tabSelected="1" zoomScale="75" zoomScaleNormal="75" zoomScalePageLayoutView="0" workbookViewId="0" topLeftCell="A1">
      <selection activeCell="M18" sqref="M18"/>
    </sheetView>
  </sheetViews>
  <sheetFormatPr defaultColWidth="9.140625" defaultRowHeight="12.75"/>
  <cols>
    <col min="1" max="1" width="21.28125" style="0" customWidth="1"/>
    <col min="2" max="9" width="13.8515625" style="0" customWidth="1"/>
    <col min="10" max="10" width="11.57421875" style="0" customWidth="1"/>
    <col min="11" max="12" width="10.2812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10" ht="12.75">
      <c r="A3" s="157"/>
      <c r="B3" s="96" t="s">
        <v>14</v>
      </c>
      <c r="C3" s="95"/>
      <c r="D3" s="95"/>
      <c r="E3" s="95"/>
      <c r="F3" s="95"/>
      <c r="G3" s="95"/>
      <c r="H3" s="95"/>
      <c r="I3" s="95"/>
      <c r="J3" s="97"/>
    </row>
    <row r="4" spans="1:10" ht="12.75">
      <c r="A4" s="96" t="s">
        <v>41</v>
      </c>
      <c r="B4" s="83" t="s">
        <v>22</v>
      </c>
      <c r="C4" s="98" t="s">
        <v>23</v>
      </c>
      <c r="D4" s="98" t="s">
        <v>69</v>
      </c>
      <c r="E4" s="98" t="s">
        <v>25</v>
      </c>
      <c r="F4" s="98" t="s">
        <v>84</v>
      </c>
      <c r="G4" s="98" t="s">
        <v>24</v>
      </c>
      <c r="H4" s="98" t="s">
        <v>96</v>
      </c>
      <c r="I4" s="98" t="s">
        <v>100</v>
      </c>
      <c r="J4" s="99" t="s">
        <v>60</v>
      </c>
    </row>
    <row r="5" spans="1:10" ht="12.75">
      <c r="A5" s="83" t="s">
        <v>42</v>
      </c>
      <c r="B5" s="100">
        <v>2</v>
      </c>
      <c r="C5" s="101">
        <v>1</v>
      </c>
      <c r="D5" s="101">
        <v>3</v>
      </c>
      <c r="E5" s="101">
        <v>2</v>
      </c>
      <c r="F5" s="101">
        <v>0</v>
      </c>
      <c r="G5" s="101">
        <v>1</v>
      </c>
      <c r="H5" s="101">
        <v>0</v>
      </c>
      <c r="I5" s="101">
        <v>0</v>
      </c>
      <c r="J5" s="102">
        <v>9</v>
      </c>
    </row>
    <row r="6" spans="1:10" ht="12.75">
      <c r="A6" s="104" t="s">
        <v>43</v>
      </c>
      <c r="B6" s="105">
        <v>0</v>
      </c>
      <c r="C6" s="74">
        <v>2</v>
      </c>
      <c r="D6" s="74">
        <v>2</v>
      </c>
      <c r="E6" s="74">
        <v>6</v>
      </c>
      <c r="F6" s="74">
        <v>1</v>
      </c>
      <c r="G6" s="74">
        <v>2</v>
      </c>
      <c r="H6" s="74">
        <v>1</v>
      </c>
      <c r="I6" s="74">
        <v>1</v>
      </c>
      <c r="J6" s="106">
        <v>15</v>
      </c>
    </row>
    <row r="7" spans="1:10" ht="12.75">
      <c r="A7" s="112" t="s">
        <v>68</v>
      </c>
      <c r="B7" s="155">
        <v>2.3166666667093523</v>
      </c>
      <c r="C7" s="113">
        <v>3.1666666665114462</v>
      </c>
      <c r="D7" s="135">
        <v>3.1333333332440816</v>
      </c>
      <c r="E7" s="135">
        <v>18.43333333352348</v>
      </c>
      <c r="F7" s="135">
        <v>2.449999999953434</v>
      </c>
      <c r="G7" s="135">
        <v>3.0666666665347293</v>
      </c>
      <c r="H7" s="135">
        <v>0.4499999998952262</v>
      </c>
      <c r="I7" s="135">
        <v>0.5000000000582077</v>
      </c>
      <c r="J7" s="114">
        <v>33.516666666429956</v>
      </c>
    </row>
    <row r="12" ht="13.5" thickBot="1"/>
    <row r="13" spans="2:19" ht="12.75">
      <c r="B13" s="61" t="s">
        <v>23</v>
      </c>
      <c r="C13" s="62" t="s">
        <v>46</v>
      </c>
      <c r="D13" s="62" t="s">
        <v>22</v>
      </c>
      <c r="E13" s="62" t="s">
        <v>47</v>
      </c>
      <c r="F13" s="62" t="s">
        <v>48</v>
      </c>
      <c r="G13" s="62" t="s">
        <v>49</v>
      </c>
      <c r="H13" s="62" t="s">
        <v>50</v>
      </c>
      <c r="I13" s="62" t="s">
        <v>51</v>
      </c>
      <c r="J13" s="62" t="s">
        <v>52</v>
      </c>
      <c r="K13" s="62" t="s">
        <v>53</v>
      </c>
      <c r="L13" s="62" t="s">
        <v>54</v>
      </c>
      <c r="M13" s="62" t="s">
        <v>55</v>
      </c>
      <c r="N13" s="62" t="s">
        <v>56</v>
      </c>
      <c r="O13" s="62" t="s">
        <v>57</v>
      </c>
      <c r="P13" s="63" t="s">
        <v>58</v>
      </c>
      <c r="Q13" s="64" t="s">
        <v>59</v>
      </c>
      <c r="R13" s="64" t="s">
        <v>60</v>
      </c>
      <c r="S13" s="65" t="s">
        <v>61</v>
      </c>
    </row>
    <row r="15" spans="1:19" s="69" customFormat="1" ht="12.75">
      <c r="A15" s="156" t="s">
        <v>101</v>
      </c>
      <c r="B15" s="67">
        <f>IF(B17,SUM(B17/B26),"")</f>
        <v>0.0020496445483846404</v>
      </c>
      <c r="C15" s="67">
        <f>IF(C17,SUM(C17/B26),"")</f>
      </c>
      <c r="D15" s="67">
        <f>IF(D17,SUM(D17/B26),"")</f>
        <v>0.0014994768012877864</v>
      </c>
      <c r="E15" s="67">
        <f>IF(E17,SUM(E17/B26),"")</f>
        <v>0.001984918931079128</v>
      </c>
      <c r="F15" s="67">
        <f>IF(F17,SUM(F17/B26),"")</f>
      </c>
      <c r="G15" s="67">
        <f>IF(G17,SUM(G17/B26),"")</f>
        <v>0.00029126527787480506</v>
      </c>
      <c r="H15" s="67">
        <f>IF(H17,SUM(H17/B26),"")</f>
        <v>0.011931088792883753</v>
      </c>
      <c r="I15" s="67">
        <f>IF(I17,SUM(I17/B26),"")</f>
        <v>0.0020280693426538115</v>
      </c>
      <c r="J15" s="67">
        <f>IF(J17,SUM(J17/C26),"")</f>
      </c>
      <c r="K15" s="67">
        <f>IF(K17,SUM(K17/D26),"")</f>
      </c>
      <c r="L15" s="67">
        <f>IF(L17,SUM(L17/E26),"")</f>
      </c>
      <c r="M15" s="67">
        <f>IF(M17,SUM(M17/B26),"")</f>
        <v>0.0015857776243241274</v>
      </c>
      <c r="N15" s="67"/>
      <c r="O15" s="67">
        <f>IF(P17,SUM(P17/C26),"")</f>
      </c>
      <c r="P15" s="67">
        <f>IF(P17,SUM(P17/B26),"")</f>
      </c>
      <c r="Q15" s="67">
        <f>IF(Q17,SUM(Q17/B26),"")</f>
        <v>0.000323628086640587</v>
      </c>
      <c r="R15" s="67">
        <f>IF(R17,SUM(R17/B26),"")</f>
        <v>0.021693869405128637</v>
      </c>
      <c r="S15" s="68">
        <f>IF(S17,SUM(S17/L13),"")</f>
      </c>
    </row>
    <row r="16" spans="1:19" ht="12.75">
      <c r="A16" s="66" t="s">
        <v>62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v>0.0028</v>
      </c>
      <c r="G16" s="70">
        <v>0.0028</v>
      </c>
      <c r="H16" s="70">
        <f>'[1]reliabilitySummary'!$B$16</f>
        <v>0.0036000000000000003</v>
      </c>
      <c r="I16" s="70">
        <f>'[1]reliabilitySummary'!$B$18</f>
        <v>0.0012000000000000001</v>
      </c>
      <c r="J16" s="70">
        <f>'[1]reliabilitySummary'!$B$19</f>
        <v>0</v>
      </c>
      <c r="K16" s="70">
        <f>'[1]reliabilitySummary'!$B$20</f>
        <v>0.0006000000000000001</v>
      </c>
      <c r="L16" s="70">
        <f>'[1]reliabilitySummary'!$B$24</f>
        <v>0.0006000000000000001</v>
      </c>
      <c r="M16" s="70">
        <f>'[1]reliabilitySummary'!$B$20</f>
        <v>0.0006000000000000001</v>
      </c>
      <c r="N16" s="70">
        <f>'[1]reliabilitySummary'!$B$26</f>
        <v>0.0006000000000000001</v>
      </c>
      <c r="O16" s="70">
        <f>'[1]reliabilitySummary'!$B$27</f>
        <v>0.0018000000000000002</v>
      </c>
      <c r="P16" s="70">
        <f>'[1]reliabilitySummary'!$B$11</f>
        <v>0.0012000000000000001</v>
      </c>
      <c r="Q16" s="70">
        <f>'[1]reliabilitySummary'!$B$28</f>
        <v>0.0006000000000000001</v>
      </c>
      <c r="R16" s="70">
        <f>SUM(B16:Q16)</f>
        <v>0.0314</v>
      </c>
      <c r="S16" s="71"/>
    </row>
    <row r="17" spans="1:19" s="69" customFormat="1" ht="12.75">
      <c r="A17" s="66" t="s">
        <v>63</v>
      </c>
      <c r="B17" s="68">
        <f>GETPIVOTDATA("Sum of System Length",$A$3,"Group","RF")</f>
        <v>3.1666666665114462</v>
      </c>
      <c r="C17" s="68"/>
      <c r="D17" s="68">
        <f>GETPIVOTDATA("Sum of System Length",$A$3,"Group","PS")</f>
        <v>2.3166666667093523</v>
      </c>
      <c r="E17" s="68">
        <f>GETPIVOTDATA("Sum of System Length",$A$3,"Group","CTL")</f>
        <v>3.0666666665347293</v>
      </c>
      <c r="F17" s="68"/>
      <c r="G17" s="68">
        <f>GETPIVOTDATA("Sum of System Length",$A$3,"Group","RAD")</f>
        <v>0.4499999998952262</v>
      </c>
      <c r="H17" s="68">
        <f>GETPIVOTDATA("Sum of System Length",$A$3,"Group","MOM")</f>
        <v>18.43333333352348</v>
      </c>
      <c r="I17" s="68">
        <f>GETPIVOTDATA("Sum of System Length",$A$3,"Group","AOP")</f>
        <v>3.1333333332440816</v>
      </c>
      <c r="J17" s="68"/>
      <c r="K17" s="68"/>
      <c r="M17" s="68">
        <f>GETPIVOTDATA("Sum of System Length",$A$3,"Group","ComEd")</f>
        <v>2.449999999953434</v>
      </c>
      <c r="O17" s="68"/>
      <c r="P17" s="68"/>
      <c r="Q17" s="68">
        <f>GETPIVOTDATA("Sum of System Length",$A$3,"Group","UNK")</f>
        <v>0.5000000000582077</v>
      </c>
      <c r="R17" s="72">
        <f>SUM(B17:Q17)</f>
        <v>33.516666666429956</v>
      </c>
      <c r="S17" s="73"/>
    </row>
    <row r="18" spans="1:18" ht="12.75">
      <c r="A18" s="75" t="s">
        <v>64</v>
      </c>
      <c r="B18">
        <f>GETPIVOTDATA("Sum - Store Lost",$A$3,"Group","RF")</f>
        <v>2</v>
      </c>
      <c r="D18">
        <f>GETPIVOTDATA("Sum - Store Lost",$A$3,"Group","PS")</f>
        <v>0</v>
      </c>
      <c r="E18">
        <f>GETPIVOTDATA("Sum - Store Lost",$A$3,"Group","CTL")</f>
        <v>2</v>
      </c>
      <c r="G18">
        <f>GETPIVOTDATA("Sum - Store Lost",$A$3,"Group","RAD")</f>
        <v>1</v>
      </c>
      <c r="H18">
        <f>GETPIVOTDATA("Sum - Store Lost",$A$3,"Group","MOM")</f>
        <v>6</v>
      </c>
      <c r="I18">
        <f>GETPIVOTDATA("Sum - Store Lost",$A$3,"Group","AOP")</f>
        <v>2</v>
      </c>
      <c r="M18">
        <f>GETPIVOTDATA("Sum - Store Lost",$A$3,"Group","ComEd")</f>
        <v>1</v>
      </c>
      <c r="Q18">
        <f>GETPIVOTDATA("Sum - Store Lost",$A$3,"Group","UNK")</f>
        <v>1</v>
      </c>
      <c r="R18" s="72">
        <f>SUM(B18:Q18)</f>
        <v>15</v>
      </c>
    </row>
    <row r="19" spans="1:18" ht="12.75">
      <c r="A19" s="75"/>
      <c r="B19" s="74"/>
      <c r="C19" s="74"/>
      <c r="D19" s="74"/>
      <c r="E19" s="74"/>
      <c r="G19" s="74"/>
      <c r="H19" s="74"/>
      <c r="L19" s="74"/>
      <c r="N19" s="74"/>
      <c r="R19" s="72"/>
    </row>
    <row r="20" spans="1:18" ht="13.5" thickBot="1">
      <c r="A20" s="75"/>
      <c r="B20" s="74"/>
      <c r="C20" s="74"/>
      <c r="D20" s="74"/>
      <c r="E20" s="74"/>
      <c r="G20" s="74"/>
      <c r="H20" s="74"/>
      <c r="L20" s="74"/>
      <c r="N20" s="74"/>
      <c r="R20" s="72"/>
    </row>
    <row r="21" spans="2:18" ht="12.75">
      <c r="B21" s="61" t="s">
        <v>23</v>
      </c>
      <c r="C21" s="62" t="s">
        <v>46</v>
      </c>
      <c r="D21" s="62" t="s">
        <v>22</v>
      </c>
      <c r="E21" s="62" t="s">
        <v>47</v>
      </c>
      <c r="F21" s="62" t="s">
        <v>48</v>
      </c>
      <c r="G21" s="62" t="s">
        <v>49</v>
      </c>
      <c r="H21" s="62" t="s">
        <v>25</v>
      </c>
      <c r="I21" s="62" t="s">
        <v>51</v>
      </c>
      <c r="J21" s="62" t="s">
        <v>52</v>
      </c>
      <c r="K21" s="62" t="s">
        <v>53</v>
      </c>
      <c r="L21" s="62" t="s">
        <v>54</v>
      </c>
      <c r="M21" s="62" t="s">
        <v>55</v>
      </c>
      <c r="N21" s="62" t="s">
        <v>56</v>
      </c>
      <c r="O21" s="62" t="s">
        <v>57</v>
      </c>
      <c r="P21" s="63" t="s">
        <v>58</v>
      </c>
      <c r="Q21" s="64" t="s">
        <v>59</v>
      </c>
      <c r="R21" s="72"/>
    </row>
    <row r="22" spans="1:18" ht="12.75">
      <c r="A22" s="156" t="s">
        <v>101</v>
      </c>
      <c r="B22" s="76">
        <f aca="true" t="shared" si="0" ref="B22:H22">B18/($B25/24)</f>
        <v>0.03175723359209459</v>
      </c>
      <c r="C22" s="115">
        <f>C18/($B25/24)</f>
        <v>0</v>
      </c>
      <c r="D22" s="77">
        <f t="shared" si="0"/>
        <v>0</v>
      </c>
      <c r="E22" s="77">
        <f t="shared" si="0"/>
        <v>0.03175723359209459</v>
      </c>
      <c r="F22" s="76">
        <f t="shared" si="0"/>
        <v>0</v>
      </c>
      <c r="G22" s="76">
        <f t="shared" si="0"/>
        <v>0.015878616796047296</v>
      </c>
      <c r="H22" s="76">
        <f t="shared" si="0"/>
        <v>0.09527170077628377</v>
      </c>
      <c r="I22" s="77">
        <f>I18/($B25/24)</f>
        <v>0.03175723359209459</v>
      </c>
      <c r="J22" s="77">
        <f>J18/($B25/24)</f>
        <v>0</v>
      </c>
      <c r="K22" s="76">
        <f>K18/($B25/24)</f>
        <v>0</v>
      </c>
      <c r="L22" s="77"/>
      <c r="M22" s="76">
        <f aca="true" t="shared" si="1" ref="M22:R22">M18/($B25/24)</f>
        <v>0.015878616796047296</v>
      </c>
      <c r="N22" s="76">
        <f>O18/($B25/24)</f>
        <v>0</v>
      </c>
      <c r="O22" s="76" t="e">
        <f>#REF!/($B25/24)</f>
        <v>#REF!</v>
      </c>
      <c r="P22" s="76">
        <f t="shared" si="1"/>
        <v>0</v>
      </c>
      <c r="Q22" s="76">
        <f t="shared" si="1"/>
        <v>0.015878616796047296</v>
      </c>
      <c r="R22" s="76">
        <f t="shared" si="1"/>
        <v>0.23817925194070944</v>
      </c>
    </row>
    <row r="23" spans="1:19" ht="12.75">
      <c r="A23" s="78" t="s">
        <v>62</v>
      </c>
      <c r="B23" s="79">
        <f>'[1]reliabilitySummary'!$F$7</f>
        <v>0.12</v>
      </c>
      <c r="C23" s="79">
        <f>'[1]reliabilitySummary'!$F$8</f>
        <v>0.03</v>
      </c>
      <c r="D23" s="79">
        <v>0.12</v>
      </c>
      <c r="E23" s="79">
        <v>0.05</v>
      </c>
      <c r="F23" s="79">
        <v>0.035</v>
      </c>
      <c r="G23" s="79">
        <v>0.02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>
        <f>SUM(B23:Q23)</f>
        <v>0.545</v>
      </c>
      <c r="S23" s="81"/>
    </row>
    <row r="25" spans="1:2" ht="12.75">
      <c r="A25" s="37" t="s">
        <v>33</v>
      </c>
      <c r="B25" s="69">
        <f>'Main Data'!D58</f>
        <v>1511.4666666667326</v>
      </c>
    </row>
    <row r="26" spans="1:2" ht="12.75">
      <c r="A26" s="82" t="s">
        <v>37</v>
      </c>
      <c r="B26" s="80">
        <f>'Main Data'!D60</f>
        <v>1544.9833333331626</v>
      </c>
    </row>
    <row r="30" ht="12.75">
      <c r="A30" s="83"/>
    </row>
    <row r="36" ht="12.75">
      <c r="A36" s="84" t="s">
        <v>65</v>
      </c>
    </row>
    <row r="37" spans="1:9" ht="12.75">
      <c r="A37" s="83"/>
      <c r="B37" s="95"/>
      <c r="C37" s="96" t="s">
        <v>12</v>
      </c>
      <c r="D37" s="95"/>
      <c r="E37" s="95"/>
      <c r="F37" s="95"/>
      <c r="G37" s="95"/>
      <c r="H37" s="95"/>
      <c r="I37" s="97"/>
    </row>
    <row r="38" spans="1:9" ht="12.75">
      <c r="A38" s="96" t="s">
        <v>15</v>
      </c>
      <c r="B38" s="96" t="s">
        <v>41</v>
      </c>
      <c r="C38" s="83" t="s">
        <v>22</v>
      </c>
      <c r="D38" s="98" t="s">
        <v>23</v>
      </c>
      <c r="E38" s="98" t="s">
        <v>66</v>
      </c>
      <c r="F38" s="98" t="s">
        <v>24</v>
      </c>
      <c r="G38" s="98" t="s">
        <v>70</v>
      </c>
      <c r="H38" s="98" t="s">
        <v>69</v>
      </c>
      <c r="I38" s="99" t="s">
        <v>60</v>
      </c>
    </row>
    <row r="39" spans="1:9" ht="12.75">
      <c r="A39" s="83" t="s">
        <v>17</v>
      </c>
      <c r="B39" s="83" t="s">
        <v>43</v>
      </c>
      <c r="C39" s="100"/>
      <c r="D39" s="101">
        <v>2</v>
      </c>
      <c r="E39" s="101">
        <v>2</v>
      </c>
      <c r="F39" s="101">
        <v>1</v>
      </c>
      <c r="G39" s="101">
        <v>1</v>
      </c>
      <c r="H39" s="101">
        <v>1</v>
      </c>
      <c r="I39" s="102">
        <v>7</v>
      </c>
    </row>
    <row r="40" spans="1:9" ht="12.75">
      <c r="A40" s="103"/>
      <c r="B40" s="104" t="s">
        <v>42</v>
      </c>
      <c r="C40" s="105"/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106">
        <v>0</v>
      </c>
    </row>
    <row r="41" spans="1:9" ht="12.75">
      <c r="A41" s="83" t="s">
        <v>67</v>
      </c>
      <c r="B41" s="83" t="s">
        <v>43</v>
      </c>
      <c r="C41" s="100">
        <v>0</v>
      </c>
      <c r="D41" s="101">
        <v>0</v>
      </c>
      <c r="E41" s="101"/>
      <c r="F41" s="101">
        <v>0</v>
      </c>
      <c r="G41" s="101"/>
      <c r="H41" s="101"/>
      <c r="I41" s="102">
        <v>0</v>
      </c>
    </row>
    <row r="42" spans="1:9" ht="12.75">
      <c r="A42" s="103"/>
      <c r="B42" s="104" t="s">
        <v>42</v>
      </c>
      <c r="C42" s="105">
        <v>1</v>
      </c>
      <c r="D42" s="74">
        <v>1</v>
      </c>
      <c r="E42" s="74"/>
      <c r="F42" s="74">
        <v>1</v>
      </c>
      <c r="G42" s="74"/>
      <c r="H42" s="74"/>
      <c r="I42" s="106">
        <v>3</v>
      </c>
    </row>
    <row r="43" spans="1:9" ht="12.75">
      <c r="A43" s="83" t="s">
        <v>45</v>
      </c>
      <c r="B43" s="95"/>
      <c r="C43" s="100">
        <v>0</v>
      </c>
      <c r="D43" s="101">
        <v>2</v>
      </c>
      <c r="E43" s="101">
        <v>2</v>
      </c>
      <c r="F43" s="101">
        <v>1</v>
      </c>
      <c r="G43" s="101">
        <v>1</v>
      </c>
      <c r="H43" s="101">
        <v>1</v>
      </c>
      <c r="I43" s="102">
        <v>7</v>
      </c>
    </row>
    <row r="44" spans="1:9" ht="12.75">
      <c r="A44" s="107" t="s">
        <v>44</v>
      </c>
      <c r="B44" s="108"/>
      <c r="C44" s="109">
        <v>1</v>
      </c>
      <c r="D44" s="110">
        <v>1</v>
      </c>
      <c r="E44" s="110">
        <v>0</v>
      </c>
      <c r="F44" s="110">
        <v>1</v>
      </c>
      <c r="G44" s="110">
        <v>0</v>
      </c>
      <c r="H44" s="110">
        <v>0</v>
      </c>
      <c r="I44" s="111"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5">
      <selection activeCell="S83" sqref="S83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Downtime</dc:subject>
  <dc:creator>Flood, Randy J.</dc:creator>
  <cp:keywords/>
  <dc:description/>
  <cp:lastModifiedBy>Felix</cp:lastModifiedBy>
  <cp:lastPrinted>2013-12-20T14:49:49Z</cp:lastPrinted>
  <dcterms:created xsi:type="dcterms:W3CDTF">1998-01-15T00:06:45Z</dcterms:created>
  <dcterms:modified xsi:type="dcterms:W3CDTF">2013-12-20T15:58:43Z</dcterms:modified>
  <cp:category/>
  <cp:version/>
  <cp:contentType/>
  <cp:contentStatus/>
  <cp:revision>5</cp:revision>
</cp:coreProperties>
</file>