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8830" windowHeight="723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Data'!$A$2:$P$46</definedName>
    <definedName name="Excel_BuiltIn_Print_Area_1_1_1">'Main Data'!$A$2:$P$68</definedName>
    <definedName name="Excel_BuiltIn_Print_Area_1_1_11">'Main Data'!$A$2:$P$69</definedName>
    <definedName name="Excel_BuiltIn_Print_Area_1_1_1_1">'Main Data'!$A$2:$P$55</definedName>
    <definedName name="Excel_BuiltIn_Print_Area_41">'Faults Per Day'!$A$1:$W$67</definedName>
    <definedName name="Faults_Day_of_Delivered_Beam">'Main Data'!$D$97</definedName>
    <definedName name="Mean_Time_Between_Faults">'Main Data'!$D$96</definedName>
    <definedName name="Number_of_Fills">'Main Data'!$D$89</definedName>
    <definedName name="Number_of_Intentional_Dumps">'Main Data'!$D$88</definedName>
    <definedName name="Number_of_Lost_Fills">'Main Data'!$D$87</definedName>
    <definedName name="_xlnm.Print_Area" localSheetId="3">'Faults Per Day'!$A$1:$AC$81</definedName>
    <definedName name="_xlnm.Print_Area" localSheetId="0">'Main Data'!$A$2:$P$55</definedName>
    <definedName name="_xlnm.Print_Titles" localSheetId="0">'Main Data'!$5:$5</definedName>
    <definedName name="Refill_Time">'Main Data'!$D$1</definedName>
    <definedName name="Total_Schedule_Run_Length">'Main Data'!$D$93</definedName>
    <definedName name="Total_System_Downtime">'Main Data'!$K$89</definedName>
    <definedName name="Total_User_Beam">'Main Data'!$D$91</definedName>
    <definedName name="Total_User_Downtime">'Main Data'!$D$92</definedName>
    <definedName name="User_Beam_Days">'Main Data'!$E$91</definedName>
    <definedName name="X_ray_Availability">'Main Data'!$D$98</definedName>
  </definedNames>
  <calcPr fullCalcOnLoad="1"/>
  <pivotCaches>
    <pivotCache cacheId="14" r:id="rId5"/>
    <pivotCache cacheId="12" r:id="rId6"/>
  </pivotCaches>
</workbook>
</file>

<file path=xl/sharedStrings.xml><?xml version="1.0" encoding="utf-8"?>
<sst xmlns="http://schemas.openxmlformats.org/spreadsheetml/2006/main" count="208" uniqueCount="93">
  <si>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</si>
  <si>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</si>
  <si>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</si>
  <si>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</si>
  <si>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</si>
  <si>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</si>
  <si>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</si>
  <si>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</si>
  <si>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</si>
  <si>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</si>
  <si>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</si>
  <si>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</si>
  <si>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</si>
  <si>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</si>
  <si>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</si>
  <si>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</si>
  <si>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</si>
  <si>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</si>
  <si>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</si>
  <si>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</si>
  <si>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</si>
  <si>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</si>
  <si>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</si>
  <si>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</si>
  <si>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</si>
  <si>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</si>
  <si>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</si>
  <si>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</si>
  <si>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</si>
  <si>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</si>
  <si>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</si>
  <si>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</si>
  <si>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</si>
  <si>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</si>
  <si>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</si>
  <si>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</si>
  <si>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</si>
  <si>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</si>
  <si>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</si>
  <si>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</si>
  <si>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</si>
  <si>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</si>
  <si>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</si>
  <si>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</si>
  <si>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</si>
  <si>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</si>
  <si>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</si>
  <si>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</si>
  <si>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</si>
  <si>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</si>
  <si>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</si>
  <si>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</si>
  <si>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</si>
  <si>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</si>
  <si>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</si>
  <si>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</si>
  <si>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</si>
  <si>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</si>
  <si>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</si>
  <si>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</si>
  <si>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</si>
  <si>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</si>
  <si>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</si>
  <si>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</si>
  <si>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</si>
  <si>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</si>
  <si>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AOP</t>
  </si>
  <si>
    <t>Inhibits beam to user</t>
  </si>
  <si>
    <t>FMS</t>
  </si>
  <si>
    <t>OTH</t>
  </si>
  <si>
    <t>UNK</t>
  </si>
  <si>
    <t xml:space="preserve">Human error[DIAG]        </t>
  </si>
  <si>
    <t>MPS VV fault [MOM]</t>
  </si>
  <si>
    <t>Under Investigation</t>
  </si>
  <si>
    <t xml:space="preserve">13-ID PSS trip[OTH]      </t>
  </si>
  <si>
    <t>Int Dump: End of Period</t>
  </si>
  <si>
    <t xml:space="preserve">Int Dump: End of Period </t>
  </si>
  <si>
    <t>DIA</t>
  </si>
  <si>
    <t>BL</t>
  </si>
  <si>
    <t xml:space="preserve">S3A:S2 failure [PS]      </t>
  </si>
  <si>
    <t>S5A:V3 glitches [PS]</t>
  </si>
  <si>
    <t>Downtime for Run 2014-1</t>
  </si>
  <si>
    <t>Run 2014-1</t>
  </si>
  <si>
    <t>Inhibits beam to User</t>
  </si>
  <si>
    <t xml:space="preserve">RF4 coll. intlk [RF]     </t>
  </si>
  <si>
    <t>HP</t>
  </si>
  <si>
    <t>2 more dumps, investigation, punch down, refill</t>
  </si>
  <si>
    <t xml:space="preserve"> P1 BPM offset change, pending BPLD[Diag]  user fill &lt;1 hr</t>
  </si>
  <si>
    <t>user fill &lt;1 hr  Spurious Rad Mon. Trip, investigation [HP]</t>
  </si>
  <si>
    <t xml:space="preserve"> Waveguide switch, recover systems, refill </t>
  </si>
  <si>
    <t xml:space="preserve">RF3 crowbar [RF]         </t>
  </si>
  <si>
    <t xml:space="preserve">S33A:Q3 P.S. trip[PS]    </t>
  </si>
  <si>
    <t xml:space="preserve">Bldg450 brkr trip[FMS]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</si>
</sst>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Bitstream Vera Sans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5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164" fontId="0" fillId="34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33" borderId="19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164" fontId="0" fillId="0" borderId="29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textRotation="90"/>
    </xf>
    <xf numFmtId="2" fontId="1" fillId="0" borderId="18" xfId="0" applyNumberFormat="1" applyFont="1" applyFill="1" applyBorder="1" applyAlignment="1">
      <alignment horizontal="center" textRotation="90" wrapText="1"/>
    </xf>
    <xf numFmtId="165" fontId="1" fillId="0" borderId="18" xfId="0" applyNumberFormat="1" applyFont="1" applyFill="1" applyBorder="1" applyAlignment="1">
      <alignment horizontal="center" textRotation="90" wrapText="1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righ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30" xfId="0" applyNumberFormat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 horizontal="left"/>
    </xf>
    <xf numFmtId="2" fontId="0" fillId="37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right"/>
    </xf>
    <xf numFmtId="0" fontId="0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31" xfId="0" applyNumberFormat="1" applyBorder="1" applyAlignment="1">
      <alignment/>
    </xf>
    <xf numFmtId="0" fontId="0" fillId="40" borderId="25" xfId="0" applyNumberFormat="1" applyFont="1" applyFill="1" applyBorder="1" applyAlignment="1">
      <alignment horizontal="right"/>
    </xf>
    <xf numFmtId="164" fontId="0" fillId="40" borderId="25" xfId="0" applyNumberFormat="1" applyFont="1" applyFill="1" applyBorder="1" applyAlignment="1">
      <alignment horizontal="left"/>
    </xf>
    <xf numFmtId="0" fontId="0" fillId="40" borderId="25" xfId="0" applyNumberFormat="1" applyFont="1" applyFill="1" applyBorder="1" applyAlignment="1" applyProtection="1">
      <alignment horizontal="left"/>
      <protection/>
    </xf>
    <xf numFmtId="164" fontId="0" fillId="40" borderId="18" xfId="0" applyNumberFormat="1" applyFont="1" applyFill="1" applyBorder="1" applyAlignment="1">
      <alignment/>
    </xf>
    <xf numFmtId="0" fontId="0" fillId="41" borderId="19" xfId="0" applyNumberFormat="1" applyFont="1" applyFill="1" applyBorder="1" applyAlignment="1">
      <alignment horizontal="right"/>
    </xf>
    <xf numFmtId="164" fontId="0" fillId="41" borderId="29" xfId="0" applyNumberFormat="1" applyFont="1" applyFill="1" applyBorder="1" applyAlignment="1">
      <alignment/>
    </xf>
    <xf numFmtId="0" fontId="0" fillId="41" borderId="19" xfId="0" applyNumberFormat="1" applyFont="1" applyFill="1" applyBorder="1" applyAlignment="1" applyProtection="1">
      <alignment horizontal="left"/>
      <protection/>
    </xf>
    <xf numFmtId="0" fontId="0" fillId="38" borderId="19" xfId="0" applyNumberFormat="1" applyFont="1" applyFill="1" applyBorder="1" applyAlignment="1" applyProtection="1">
      <alignment horizontal="left"/>
      <protection/>
    </xf>
    <xf numFmtId="164" fontId="0" fillId="39" borderId="29" xfId="0" applyNumberFormat="1" applyFont="1" applyFill="1" applyBorder="1" applyAlignment="1">
      <alignment/>
    </xf>
    <xf numFmtId="177" fontId="0" fillId="40" borderId="32" xfId="0" applyNumberFormat="1" applyFont="1" applyFill="1" applyBorder="1" applyAlignment="1">
      <alignment horizontal="left"/>
    </xf>
    <xf numFmtId="177" fontId="0" fillId="34" borderId="32" xfId="0" applyNumberFormat="1" applyFont="1" applyFill="1" applyBorder="1" applyAlignment="1">
      <alignment horizontal="left"/>
    </xf>
    <xf numFmtId="177" fontId="0" fillId="33" borderId="19" xfId="0" applyNumberFormat="1" applyFont="1" applyFill="1" applyBorder="1" applyAlignment="1">
      <alignment horizontal="left" wrapText="1"/>
    </xf>
    <xf numFmtId="2" fontId="0" fillId="33" borderId="19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 horizontal="left" wrapText="1"/>
    </xf>
    <xf numFmtId="0" fontId="0" fillId="33" borderId="19" xfId="0" applyNumberFormat="1" applyFont="1" applyFill="1" applyBorder="1" applyAlignment="1">
      <alignment horizontal="left"/>
    </xf>
    <xf numFmtId="164" fontId="0" fillId="33" borderId="19" xfId="0" applyNumberFormat="1" applyFont="1" applyFill="1" applyBorder="1" applyAlignment="1">
      <alignment horizontal="left"/>
    </xf>
    <xf numFmtId="166" fontId="0" fillId="33" borderId="19" xfId="0" applyNumberFormat="1" applyFont="1" applyFill="1" applyBorder="1" applyAlignment="1">
      <alignment horizontal="left" wrapText="1"/>
    </xf>
    <xf numFmtId="0" fontId="0" fillId="33" borderId="19" xfId="0" applyNumberFormat="1" applyFont="1" applyFill="1" applyBorder="1" applyAlignment="1" applyProtection="1">
      <alignment horizontal="left"/>
      <protection locked="0"/>
    </xf>
    <xf numFmtId="177" fontId="0" fillId="0" borderId="19" xfId="0" applyNumberFormat="1" applyFont="1" applyBorder="1" applyAlignment="1">
      <alignment horizontal="left" wrapText="1"/>
    </xf>
    <xf numFmtId="177" fontId="0" fillId="0" borderId="19" xfId="0" applyNumberFormat="1" applyBorder="1" applyAlignment="1">
      <alignment horizontal="left" wrapText="1"/>
    </xf>
    <xf numFmtId="2" fontId="0" fillId="38" borderId="19" xfId="0" applyNumberFormat="1" applyFont="1" applyFill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0" fillId="0" borderId="19" xfId="0" applyNumberFormat="1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left"/>
    </xf>
    <xf numFmtId="166" fontId="0" fillId="0" borderId="19" xfId="0" applyNumberFormat="1" applyFont="1" applyBorder="1" applyAlignment="1">
      <alignment horizontal="left" wrapText="1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0" fillId="40" borderId="25" xfId="0" applyNumberFormat="1" applyFont="1" applyFill="1" applyBorder="1" applyAlignment="1">
      <alignment horizontal="left"/>
    </xf>
    <xf numFmtId="0" fontId="0" fillId="40" borderId="25" xfId="0" applyNumberFormat="1" applyFont="1" applyFill="1" applyBorder="1" applyAlignment="1" applyProtection="1">
      <alignment horizontal="left"/>
      <protection locked="0"/>
    </xf>
    <xf numFmtId="164" fontId="0" fillId="0" borderId="19" xfId="0" applyNumberFormat="1" applyBorder="1" applyAlignment="1">
      <alignment horizontal="left" wrapText="1"/>
    </xf>
    <xf numFmtId="177" fontId="0" fillId="41" borderId="19" xfId="0" applyNumberFormat="1" applyFont="1" applyFill="1" applyBorder="1" applyAlignment="1">
      <alignment horizontal="left" wrapText="1"/>
    </xf>
    <xf numFmtId="177" fontId="0" fillId="41" borderId="19" xfId="0" applyNumberFormat="1" applyFill="1" applyBorder="1" applyAlignment="1">
      <alignment horizontal="left" wrapText="1"/>
    </xf>
    <xf numFmtId="0" fontId="4" fillId="41" borderId="19" xfId="0" applyFont="1" applyFill="1" applyBorder="1" applyAlignment="1">
      <alignment horizontal="left" wrapText="1"/>
    </xf>
    <xf numFmtId="0" fontId="0" fillId="41" borderId="19" xfId="0" applyNumberFormat="1" applyFont="1" applyFill="1" applyBorder="1" applyAlignment="1">
      <alignment horizontal="left"/>
    </xf>
    <xf numFmtId="164" fontId="0" fillId="41" borderId="19" xfId="0" applyNumberFormat="1" applyFont="1" applyFill="1" applyBorder="1" applyAlignment="1">
      <alignment horizontal="left"/>
    </xf>
    <xf numFmtId="164" fontId="0" fillId="41" borderId="19" xfId="0" applyNumberFormat="1" applyFill="1" applyBorder="1" applyAlignment="1">
      <alignment horizontal="left" wrapText="1"/>
    </xf>
    <xf numFmtId="166" fontId="0" fillId="41" borderId="19" xfId="0" applyNumberFormat="1" applyFont="1" applyFill="1" applyBorder="1" applyAlignment="1">
      <alignment horizontal="left" wrapText="1"/>
    </xf>
    <xf numFmtId="0" fontId="0" fillId="41" borderId="19" xfId="0" applyNumberFormat="1" applyFont="1" applyFill="1" applyBorder="1" applyAlignment="1" applyProtection="1">
      <alignment horizontal="left"/>
      <protection locked="0"/>
    </xf>
    <xf numFmtId="2" fontId="0" fillId="35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 horizontal="left"/>
      <protection locked="0"/>
    </xf>
    <xf numFmtId="177" fontId="0" fillId="0" borderId="19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66" fontId="0" fillId="39" borderId="19" xfId="0" applyNumberFormat="1" applyFont="1" applyFill="1" applyBorder="1" applyAlignment="1">
      <alignment horizontal="left" wrapText="1"/>
    </xf>
    <xf numFmtId="0" fontId="0" fillId="38" borderId="19" xfId="0" applyNumberFormat="1" applyFont="1" applyFill="1" applyBorder="1" applyAlignment="1" applyProtection="1">
      <alignment horizontal="left"/>
      <protection locked="0"/>
    </xf>
    <xf numFmtId="164" fontId="0" fillId="41" borderId="29" xfId="0" applyNumberFormat="1" applyFont="1" applyFill="1" applyBorder="1" applyAlignment="1">
      <alignment horizontal="left"/>
    </xf>
    <xf numFmtId="164" fontId="0" fillId="33" borderId="29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2014-1 Downtime by System 
January 28 - April 21, 2014
 Scheduled User Time = 1679  hours     
User downtime= 22.32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2014-1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  <c:numCache>
                <c:ptCount val="17"/>
                <c:pt idx="0">
                  <c:v>0.0013599364700818133</c:v>
                </c:pt>
                <c:pt idx="1">
                  <c:v>0.0012805241215147606</c:v>
                </c:pt>
                <c:pt idx="2">
                  <c:v>0.0051220964860590424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0.0009231685527030127</c:v>
                </c:pt>
                <c:pt idx="7">
                  <c:v>0.00029779630725645305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0.0035636291442995866</c:v>
                </c:pt>
                <c:pt idx="14">
                  <c:v>0.0004864006353242122</c:v>
                </c:pt>
                <c:pt idx="15">
                  <c:v>0</c:v>
                </c:pt>
                <c:pt idx="16">
                  <c:v>0.0002580901329209246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2820030"/>
        <c:axId val="25380271"/>
      </c:bar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2014-1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7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2014-1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0.04346032736088523</c:v>
                </c:pt>
                <c:pt idx="1">
                  <c:v>0.014486775786961743</c:v>
                </c:pt>
                <c:pt idx="2">
                  <c:v>0.04346032736088523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0.014486775786961743</c:v>
                </c:pt>
                <c:pt idx="14">
                  <c:v>0.014486775786961743</c:v>
                </c:pt>
                <c:pt idx="15">
                  <c:v>0</c:v>
                </c:pt>
                <c:pt idx="16">
                  <c:v>0.014486775786961743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At val="0"/>
        <c:auto val="1"/>
        <c:lblOffset val="100"/>
        <c:tickLblSkip val="1"/>
        <c:noMultiLvlLbl val="0"/>
      </c:catAx>
      <c:valAx>
        <c:axId val="42536041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75"/>
          <c:w val="0.05675"/>
          <c:h val="0.02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87</xdr:row>
      <xdr:rowOff>76200</xdr:rowOff>
    </xdr:from>
    <xdr:to>
      <xdr:col>11</xdr:col>
      <xdr:colOff>85725</xdr:colOff>
      <xdr:row>88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67775" y="15097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85725</xdr:rowOff>
    </xdr:from>
    <xdr:to>
      <xdr:col>11</xdr:col>
      <xdr:colOff>85725</xdr:colOff>
      <xdr:row>45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14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1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SemiMixedTypes="0" containsString="0" containsMixedTypes="0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SemiMixedTypes="0" containsString="0" containsMixedTypes="0" containsNumber="1"/>
    </cacheField>
    <cacheField name="System&#10;Length">
      <sharedItems containsSemiMixedTypes="0" containsString="0" containsMixedTypes="0" containsNumber="1"/>
    </cacheField>
    <cacheField name="Cause">
      <sharedItems containsBlank="1" containsMixedTypes="0" count="7">
        <m/>
        <s v="RF"/>
        <s v="AOP"/>
        <s v="FMS"/>
        <s v="PS"/>
        <s v="OTH"/>
        <s v="UNK"/>
      </sharedItems>
    </cacheField>
    <cacheField name="System">
      <sharedItems containsMixedTypes="0"/>
    </cacheField>
    <cacheField name="Group">
      <sharedItems containsBlank="1" containsMixedTypes="0" count="7">
        <m/>
        <s v="RF"/>
        <s v="AOP"/>
        <s v="FMS"/>
        <s v="PS"/>
        <s v="OTH"/>
        <s v="UNK"/>
      </sharedItems>
    </cacheField>
    <cacheField name="Type">
      <sharedItems containsBlank="1" containsMixedTypes="0" count="4">
        <s v="Scheduled"/>
        <m/>
        <s v="Store Lost"/>
        <s v="Inhibits beam to user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42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SemiMixedTypes="0" containsString="0" containsMixedTypes="0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9">
        <s v="DIA"/>
        <s v="MOM"/>
        <s v="UNK"/>
        <s v="BL"/>
        <m/>
        <s v="PS"/>
        <s v="RF"/>
        <s v="HP"/>
        <s v="FMS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h="1" x="4"/>
        <item x="5"/>
        <item x="6"/>
        <item x="2"/>
        <item x="0"/>
        <item x="1"/>
        <item x="3"/>
        <item x="7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I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4"/>
        <item x="1"/>
        <item x="2"/>
        <item x="6"/>
        <item x="3"/>
        <item x="5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5"/>
  <sheetViews>
    <sheetView tabSelected="1" zoomScale="75" zoomScaleNormal="75" zoomScalePageLayoutView="0" workbookViewId="0" topLeftCell="A1">
      <pane ySplit="5" topLeftCell="A39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3" t="s">
        <v>81</v>
      </c>
      <c r="B2" s="193"/>
      <c r="C2" s="193"/>
      <c r="D2" s="193"/>
      <c r="E2" s="193"/>
      <c r="F2" s="193"/>
      <c r="G2" s="193"/>
      <c r="H2" s="193"/>
      <c r="I2" s="193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110" t="s">
        <v>3</v>
      </c>
      <c r="B5" s="111" t="s">
        <v>4</v>
      </c>
      <c r="C5" s="111" t="s">
        <v>5</v>
      </c>
      <c r="D5" s="112" t="s">
        <v>6</v>
      </c>
      <c r="E5" s="113" t="s">
        <v>7</v>
      </c>
      <c r="F5" s="110" t="s">
        <v>8</v>
      </c>
      <c r="G5" s="114" t="s">
        <v>9</v>
      </c>
      <c r="H5" s="111" t="s">
        <v>4</v>
      </c>
      <c r="I5" s="111" t="s">
        <v>5</v>
      </c>
      <c r="J5" s="115" t="s">
        <v>10</v>
      </c>
      <c r="K5" s="116" t="s">
        <v>11</v>
      </c>
      <c r="L5" s="117" t="s">
        <v>12</v>
      </c>
      <c r="M5" s="118" t="s">
        <v>13</v>
      </c>
      <c r="N5" s="118" t="s">
        <v>14</v>
      </c>
      <c r="O5" s="117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34" customFormat="1" ht="12.75">
      <c r="A6" s="87">
        <v>1</v>
      </c>
      <c r="B6" s="157">
        <v>41667.333333333336</v>
      </c>
      <c r="C6" s="157">
        <v>41667.76458333333</v>
      </c>
      <c r="D6" s="158">
        <f>SUM((C6-B6)*24)</f>
        <v>10.349999999860302</v>
      </c>
      <c r="E6" s="159" t="s">
        <v>71</v>
      </c>
      <c r="F6" s="160">
        <v>106112</v>
      </c>
      <c r="G6" s="161"/>
      <c r="H6" s="157">
        <v>41667.76458333333</v>
      </c>
      <c r="I6" s="162">
        <v>41667.79236111111</v>
      </c>
      <c r="J6" s="158">
        <f>SUM((I6-H6)*24)</f>
        <v>0.6666666667442769</v>
      </c>
      <c r="K6" s="158">
        <f>SUM((I6-H6)*24)</f>
        <v>0.6666666667442769</v>
      </c>
      <c r="L6" s="88" t="s">
        <v>77</v>
      </c>
      <c r="M6" s="163" t="s">
        <v>77</v>
      </c>
      <c r="N6" s="163" t="s">
        <v>77</v>
      </c>
      <c r="O6" s="88" t="s">
        <v>17</v>
      </c>
      <c r="P6" s="109"/>
      <c r="Q6" s="35">
        <f aca="true" t="shared" si="0" ref="Q6:Q42">IF($O6="Store Lost",1,"")</f>
        <v>1</v>
      </c>
      <c r="R6" s="35">
        <f aca="true" t="shared" si="1" ref="R6:R42">IF($O6="Scheduled",1,"")</f>
      </c>
      <c r="S6" s="35">
        <f aca="true" t="shared" si="2" ref="S6:S42">IF($O6="Inhibits beam to user",1,"")</f>
      </c>
      <c r="T6" s="36">
        <f aca="true" t="shared" si="3" ref="T6:T11">SUM(Q6:S6)</f>
        <v>1</v>
      </c>
      <c r="U6" s="30"/>
      <c r="V6" s="30"/>
      <c r="W6" s="30"/>
    </row>
    <row r="7" spans="1:23" s="34" customFormat="1" ht="12.75">
      <c r="A7" s="85">
        <v>2</v>
      </c>
      <c r="B7" s="164">
        <v>41667.79236111111</v>
      </c>
      <c r="C7" s="165">
        <v>41668.447222222225</v>
      </c>
      <c r="D7" s="166">
        <f>SUM((C7-B7)*24)</f>
        <v>15.716666666732635</v>
      </c>
      <c r="E7" s="167" t="s">
        <v>72</v>
      </c>
      <c r="F7" s="168">
        <v>106113</v>
      </c>
      <c r="G7" s="169"/>
      <c r="H7" s="165">
        <v>41668.447222222225</v>
      </c>
      <c r="I7" s="170">
        <v>41668.46805555555</v>
      </c>
      <c r="J7" s="166">
        <f>SUM((I7-H7)*24)</f>
        <v>0.4999999998835847</v>
      </c>
      <c r="K7" s="166">
        <f>SUM((I7-H7)*24)</f>
        <v>0.4999999998835847</v>
      </c>
      <c r="L7" s="86" t="s">
        <v>24</v>
      </c>
      <c r="M7" s="171" t="s">
        <v>24</v>
      </c>
      <c r="N7" s="171" t="s">
        <v>24</v>
      </c>
      <c r="O7" s="86" t="s">
        <v>17</v>
      </c>
      <c r="P7" s="108"/>
      <c r="Q7" s="35">
        <f t="shared" si="0"/>
        <v>1</v>
      </c>
      <c r="R7" s="35">
        <f t="shared" si="1"/>
      </c>
      <c r="S7" s="35">
        <f t="shared" si="2"/>
      </c>
      <c r="T7" s="36">
        <f t="shared" si="3"/>
        <v>1</v>
      </c>
      <c r="U7" s="30"/>
      <c r="V7" s="30"/>
      <c r="W7" s="30"/>
    </row>
    <row r="8" spans="1:23" s="34" customFormat="1" ht="12.75">
      <c r="A8" s="146">
        <v>3</v>
      </c>
      <c r="B8" s="155">
        <v>41668.46805555555</v>
      </c>
      <c r="C8" s="155">
        <v>41668.78888888889</v>
      </c>
      <c r="D8" s="158">
        <f>SUM((C8-B8)*24)</f>
        <v>7.700000000128057</v>
      </c>
      <c r="E8" s="147" t="s">
        <v>73</v>
      </c>
      <c r="F8" s="172">
        <v>106114</v>
      </c>
      <c r="G8" s="147"/>
      <c r="H8" s="155">
        <v>41668.78888888889</v>
      </c>
      <c r="I8" s="147">
        <v>41668.80694444444</v>
      </c>
      <c r="J8" s="158">
        <f>SUM((I8-H8)*24)</f>
        <v>0.4333333331742324</v>
      </c>
      <c r="K8" s="158">
        <f>SUM((I8-H8)*24)</f>
        <v>0.4333333331742324</v>
      </c>
      <c r="L8" s="148" t="s">
        <v>70</v>
      </c>
      <c r="M8" s="173" t="s">
        <v>70</v>
      </c>
      <c r="N8" s="173" t="s">
        <v>70</v>
      </c>
      <c r="O8" s="148" t="s">
        <v>17</v>
      </c>
      <c r="P8" s="149"/>
      <c r="Q8" s="35">
        <f t="shared" si="0"/>
        <v>1</v>
      </c>
      <c r="R8" s="35">
        <f t="shared" si="1"/>
      </c>
      <c r="S8" s="35">
        <f t="shared" si="2"/>
      </c>
      <c r="T8" s="36">
        <f t="shared" si="3"/>
        <v>1</v>
      </c>
      <c r="U8" s="30"/>
      <c r="V8" s="30"/>
      <c r="W8" s="30"/>
    </row>
    <row r="9" spans="1:23" s="34" customFormat="1" ht="12.75">
      <c r="A9" s="85">
        <v>4</v>
      </c>
      <c r="B9" s="164">
        <v>41668.80694444444</v>
      </c>
      <c r="C9" s="165">
        <v>41669.49236111111</v>
      </c>
      <c r="D9" s="166">
        <f>SUM((C9-B9)*24)</f>
        <v>16.45000000001164</v>
      </c>
      <c r="E9" s="167" t="s">
        <v>74</v>
      </c>
      <c r="F9" s="168">
        <v>106116</v>
      </c>
      <c r="G9" s="169"/>
      <c r="H9" s="165">
        <v>41669.49236111111</v>
      </c>
      <c r="I9" s="170">
        <v>41669.52638888889</v>
      </c>
      <c r="J9" s="166">
        <f>SUM((I9-H9)*24)</f>
        <v>0.8166666667093523</v>
      </c>
      <c r="K9" s="166">
        <f>SUM((I9-H9)*24)</f>
        <v>0.8166666667093523</v>
      </c>
      <c r="L9" s="86" t="s">
        <v>69</v>
      </c>
      <c r="M9" s="171" t="s">
        <v>78</v>
      </c>
      <c r="N9" s="171" t="s">
        <v>78</v>
      </c>
      <c r="O9" s="86" t="s">
        <v>17</v>
      </c>
      <c r="P9" s="108"/>
      <c r="Q9" s="35">
        <f t="shared" si="0"/>
        <v>1</v>
      </c>
      <c r="R9" s="35">
        <f t="shared" si="1"/>
      </c>
      <c r="S9" s="35">
        <f t="shared" si="2"/>
      </c>
      <c r="T9" s="36">
        <f t="shared" si="3"/>
        <v>1</v>
      </c>
      <c r="U9" s="30"/>
      <c r="V9" s="30"/>
      <c r="W9" s="30"/>
    </row>
    <row r="10" spans="1:23" s="34" customFormat="1" ht="12" customHeight="1">
      <c r="A10" s="150">
        <v>5</v>
      </c>
      <c r="B10" s="175">
        <v>41669.52638888889</v>
      </c>
      <c r="C10" s="176">
        <v>41674.333333333336</v>
      </c>
      <c r="D10" s="158">
        <f>SUM((C10-B10)*24)</f>
        <v>115.36666666675592</v>
      </c>
      <c r="E10" s="177" t="s">
        <v>75</v>
      </c>
      <c r="F10" s="178"/>
      <c r="G10" s="179"/>
      <c r="H10" s="180"/>
      <c r="I10" s="181"/>
      <c r="J10" s="158">
        <f>SUM((I10-H10)*24)</f>
        <v>0</v>
      </c>
      <c r="K10" s="158">
        <f>SUM((I10-H10)*24)</f>
        <v>0</v>
      </c>
      <c r="L10" s="152"/>
      <c r="M10" s="182"/>
      <c r="N10" s="182"/>
      <c r="O10" s="152" t="s">
        <v>21</v>
      </c>
      <c r="P10" s="151"/>
      <c r="Q10" s="35">
        <f t="shared" si="0"/>
      </c>
      <c r="R10" s="35">
        <f t="shared" si="1"/>
        <v>1</v>
      </c>
      <c r="S10" s="35">
        <f t="shared" si="2"/>
      </c>
      <c r="T10" s="36">
        <f t="shared" si="3"/>
        <v>1</v>
      </c>
      <c r="U10" s="30"/>
      <c r="V10" s="30"/>
      <c r="W10" s="30"/>
    </row>
    <row r="11" spans="1:23" s="34" customFormat="1" ht="12.75">
      <c r="A11" s="119"/>
      <c r="B11" s="156"/>
      <c r="C11" s="156"/>
      <c r="D11" s="183">
        <f>SUM(D6:D10)</f>
        <v>165.58333333348855</v>
      </c>
      <c r="E11" s="124"/>
      <c r="F11" s="184"/>
      <c r="G11" s="124"/>
      <c r="H11" s="124"/>
      <c r="I11" s="124"/>
      <c r="J11" s="185">
        <f>SUM(J6:J10)</f>
        <v>2.4166666665114462</v>
      </c>
      <c r="K11" s="185">
        <f>SUM(K6:K10)</f>
        <v>2.4166666665114462</v>
      </c>
      <c r="L11" s="128"/>
      <c r="M11" s="186"/>
      <c r="N11" s="186"/>
      <c r="O11" s="128"/>
      <c r="P11" s="84"/>
      <c r="Q11" s="35">
        <f t="shared" si="0"/>
      </c>
      <c r="R11" s="35">
        <f t="shared" si="1"/>
      </c>
      <c r="S11" s="35">
        <f t="shared" si="2"/>
      </c>
      <c r="T11" s="36">
        <f t="shared" si="3"/>
        <v>0</v>
      </c>
      <c r="U11" s="30"/>
      <c r="V11" s="30"/>
      <c r="W11" s="30"/>
    </row>
    <row r="12" spans="1:23" s="34" customFormat="1" ht="12.75">
      <c r="A12" s="85">
        <v>6</v>
      </c>
      <c r="B12" s="164">
        <v>41675.333333333336</v>
      </c>
      <c r="C12" s="165">
        <v>41681.333333333336</v>
      </c>
      <c r="D12" s="166">
        <f>SUM((C12-B12)*24)</f>
        <v>144</v>
      </c>
      <c r="E12" s="167" t="s">
        <v>76</v>
      </c>
      <c r="F12" s="168"/>
      <c r="G12" s="169"/>
      <c r="H12" s="174"/>
      <c r="I12" s="170"/>
      <c r="J12" s="166">
        <f>SUM((I12-H12)*24)</f>
        <v>0</v>
      </c>
      <c r="K12" s="166">
        <f>SUM((I12-H12)*24)</f>
        <v>0</v>
      </c>
      <c r="L12" s="86"/>
      <c r="M12" s="171"/>
      <c r="N12" s="171"/>
      <c r="O12" s="86" t="s">
        <v>21</v>
      </c>
      <c r="P12" s="108"/>
      <c r="Q12" s="35">
        <f t="shared" si="0"/>
      </c>
      <c r="R12" s="35">
        <f t="shared" si="1"/>
        <v>1</v>
      </c>
      <c r="S12" s="35">
        <f t="shared" si="2"/>
      </c>
      <c r="T12" s="36">
        <f aca="true" t="shared" si="4" ref="T12:T17">SUM(Q12:S12)</f>
        <v>1</v>
      </c>
      <c r="U12" s="30"/>
      <c r="V12" s="30"/>
      <c r="W12" s="30"/>
    </row>
    <row r="13" spans="1:23" s="34" customFormat="1" ht="12.75">
      <c r="A13" s="119"/>
      <c r="B13" s="156"/>
      <c r="C13" s="156"/>
      <c r="D13" s="183">
        <f>SUM(D12)</f>
        <v>144</v>
      </c>
      <c r="E13" s="124"/>
      <c r="F13" s="184"/>
      <c r="G13" s="124"/>
      <c r="H13" s="124"/>
      <c r="I13" s="124"/>
      <c r="J13" s="185"/>
      <c r="K13" s="185"/>
      <c r="L13" s="128"/>
      <c r="M13" s="186"/>
      <c r="N13" s="186"/>
      <c r="O13" s="128"/>
      <c r="P13" s="84"/>
      <c r="Q13" s="35">
        <f t="shared" si="0"/>
      </c>
      <c r="R13" s="35">
        <f t="shared" si="1"/>
      </c>
      <c r="S13" s="35">
        <f t="shared" si="2"/>
      </c>
      <c r="T13" s="36">
        <f t="shared" si="4"/>
        <v>0</v>
      </c>
      <c r="U13" s="30"/>
      <c r="V13" s="30"/>
      <c r="W13" s="30"/>
    </row>
    <row r="14" spans="1:23" s="34" customFormat="1" ht="12.75">
      <c r="A14" s="87">
        <v>7</v>
      </c>
      <c r="B14" s="157">
        <v>41682.333333333336</v>
      </c>
      <c r="C14" s="157">
        <v>41682.950694444444</v>
      </c>
      <c r="D14" s="158">
        <f>SUM((C14-B14)*24)</f>
        <v>14.816666666592937</v>
      </c>
      <c r="E14" s="159" t="s">
        <v>79</v>
      </c>
      <c r="F14" s="160">
        <v>106121</v>
      </c>
      <c r="G14" s="161"/>
      <c r="H14" s="157">
        <v>41682.950694444444</v>
      </c>
      <c r="I14" s="162">
        <v>41683.027083333334</v>
      </c>
      <c r="J14" s="158">
        <f>SUM((I14-H14)*24)</f>
        <v>1.8333333333721384</v>
      </c>
      <c r="K14" s="158">
        <f>SUM((I14-H14)*24)</f>
        <v>1.8333333333721384</v>
      </c>
      <c r="L14" s="178" t="s">
        <v>22</v>
      </c>
      <c r="M14" s="178" t="s">
        <v>22</v>
      </c>
      <c r="N14" s="178" t="s">
        <v>22</v>
      </c>
      <c r="O14" s="88" t="s">
        <v>17</v>
      </c>
      <c r="P14" s="109"/>
      <c r="Q14" s="35">
        <f t="shared" si="0"/>
        <v>1</v>
      </c>
      <c r="R14" s="35">
        <f t="shared" si="1"/>
      </c>
      <c r="S14" s="35">
        <f t="shared" si="2"/>
      </c>
      <c r="T14" s="36">
        <f t="shared" si="4"/>
        <v>1</v>
      </c>
      <c r="U14" s="30"/>
      <c r="V14" s="30"/>
      <c r="W14" s="30"/>
    </row>
    <row r="15" spans="1:23" s="34" customFormat="1" ht="12.75">
      <c r="A15" s="85">
        <v>8</v>
      </c>
      <c r="B15" s="187">
        <v>41683.027083333334</v>
      </c>
      <c r="C15" s="187">
        <v>41683.575694444444</v>
      </c>
      <c r="D15" s="166">
        <f>SUM((C15-B15)*24)</f>
        <v>13.166666666627862</v>
      </c>
      <c r="E15" s="188" t="s">
        <v>80</v>
      </c>
      <c r="F15" s="168">
        <v>106124</v>
      </c>
      <c r="G15" s="169"/>
      <c r="H15" s="187">
        <v>41683.575694444444</v>
      </c>
      <c r="I15" s="189">
        <v>41683.808333333334</v>
      </c>
      <c r="J15" s="166">
        <f>SUM((I15-H15)*24)</f>
        <v>5.583333333372138</v>
      </c>
      <c r="K15" s="166">
        <f>SUM((I15-H15)*24)</f>
        <v>5.583333333372138</v>
      </c>
      <c r="L15" s="153" t="s">
        <v>22</v>
      </c>
      <c r="M15" s="190" t="s">
        <v>22</v>
      </c>
      <c r="N15" s="190" t="s">
        <v>22</v>
      </c>
      <c r="O15" s="153" t="s">
        <v>17</v>
      </c>
      <c r="P15" s="154" t="s">
        <v>86</v>
      </c>
      <c r="Q15" s="35">
        <f t="shared" si="0"/>
        <v>1</v>
      </c>
      <c r="R15" s="35">
        <f t="shared" si="1"/>
      </c>
      <c r="S15" s="35">
        <f t="shared" si="2"/>
      </c>
      <c r="T15" s="36">
        <f t="shared" si="4"/>
        <v>1</v>
      </c>
      <c r="U15" s="30"/>
      <c r="V15" s="30"/>
      <c r="W15" s="30"/>
    </row>
    <row r="16" spans="1:23" s="34" customFormat="1" ht="12.75">
      <c r="A16" s="150">
        <v>11</v>
      </c>
      <c r="B16" s="175">
        <v>41683.808333333334</v>
      </c>
      <c r="C16" s="175">
        <v>41688.333333333336</v>
      </c>
      <c r="D16" s="158">
        <f>SUM((C16-B16)*24)</f>
        <v>108.60000000003492</v>
      </c>
      <c r="E16" s="177" t="s">
        <v>76</v>
      </c>
      <c r="F16" s="178"/>
      <c r="G16" s="179"/>
      <c r="H16" s="191"/>
      <c r="I16" s="191"/>
      <c r="J16" s="158">
        <f>SUM((I16-H16)*24)</f>
        <v>0</v>
      </c>
      <c r="K16" s="158">
        <f>SUM((I16-H16)*24)</f>
        <v>0</v>
      </c>
      <c r="L16" s="179"/>
      <c r="M16" s="179"/>
      <c r="N16" s="179"/>
      <c r="O16" s="179" t="s">
        <v>21</v>
      </c>
      <c r="P16" s="151"/>
      <c r="Q16" s="35">
        <f t="shared" si="0"/>
      </c>
      <c r="R16" s="35">
        <f t="shared" si="1"/>
        <v>1</v>
      </c>
      <c r="S16" s="35">
        <f t="shared" si="2"/>
      </c>
      <c r="T16" s="36">
        <f t="shared" si="4"/>
        <v>1</v>
      </c>
      <c r="U16" s="30"/>
      <c r="V16" s="30"/>
      <c r="W16" s="30"/>
    </row>
    <row r="17" spans="1:23" s="34" customFormat="1" ht="12.75">
      <c r="A17" s="119"/>
      <c r="B17" s="156"/>
      <c r="C17" s="156"/>
      <c r="D17" s="120">
        <f>SUM(D14:D16)</f>
        <v>136.58333333325572</v>
      </c>
      <c r="E17" s="121"/>
      <c r="F17" s="122"/>
      <c r="G17" s="123"/>
      <c r="H17" s="124"/>
      <c r="I17" s="124"/>
      <c r="J17" s="125">
        <f>SUM(J14:J16)</f>
        <v>7.416666666744277</v>
      </c>
      <c r="K17" s="125">
        <f>SUM(K14:K16)</f>
        <v>7.416666666744277</v>
      </c>
      <c r="L17" s="126"/>
      <c r="M17" s="127"/>
      <c r="N17" s="127"/>
      <c r="O17" s="128"/>
      <c r="P17" s="84"/>
      <c r="Q17" s="35">
        <f t="shared" si="0"/>
      </c>
      <c r="R17" s="35">
        <f t="shared" si="1"/>
      </c>
      <c r="S17" s="35">
        <f t="shared" si="2"/>
      </c>
      <c r="T17" s="36">
        <f t="shared" si="4"/>
        <v>0</v>
      </c>
      <c r="U17" s="30"/>
      <c r="V17" s="30"/>
      <c r="W17" s="30"/>
    </row>
    <row r="18" spans="1:23" s="34" customFormat="1" ht="12.75">
      <c r="A18" s="87"/>
      <c r="B18" s="157"/>
      <c r="C18" s="157"/>
      <c r="D18" s="158">
        <f>SUM((C18-B18)*24)</f>
        <v>0</v>
      </c>
      <c r="E18" s="159"/>
      <c r="F18" s="160"/>
      <c r="G18" s="161"/>
      <c r="H18" s="157">
        <v>41689.333333333336</v>
      </c>
      <c r="I18" s="162">
        <v>41689.39513888889</v>
      </c>
      <c r="J18" s="158">
        <f>SUM((I18-H18)*24)</f>
        <v>1.4833333332790062</v>
      </c>
      <c r="K18" s="158">
        <f>SUM((I18-H18)*24)</f>
        <v>1.4833333332790062</v>
      </c>
      <c r="L18" s="178" t="s">
        <v>77</v>
      </c>
      <c r="M18" s="178" t="s">
        <v>77</v>
      </c>
      <c r="N18" s="178" t="s">
        <v>77</v>
      </c>
      <c r="O18" s="88" t="s">
        <v>83</v>
      </c>
      <c r="P18" s="109" t="s">
        <v>87</v>
      </c>
      <c r="Q18" s="35">
        <f t="shared" si="0"/>
      </c>
      <c r="R18" s="35">
        <f t="shared" si="1"/>
      </c>
      <c r="S18" s="35">
        <f t="shared" si="2"/>
        <v>1</v>
      </c>
      <c r="T18" s="36">
        <f aca="true" t="shared" si="5" ref="T18:T29">SUM(Q18:S18)</f>
        <v>1</v>
      </c>
      <c r="U18" s="30"/>
      <c r="V18" s="30"/>
      <c r="W18" s="30"/>
    </row>
    <row r="19" spans="1:23" s="34" customFormat="1" ht="12.75">
      <c r="A19" s="85">
        <v>12</v>
      </c>
      <c r="B19" s="187">
        <v>41689.39513888889</v>
      </c>
      <c r="C19" s="187">
        <v>41690.88888888889</v>
      </c>
      <c r="D19" s="166">
        <f>SUM((C19-B19)*24)</f>
        <v>35.850000000034925</v>
      </c>
      <c r="E19" s="188" t="s">
        <v>84</v>
      </c>
      <c r="F19" s="168"/>
      <c r="G19" s="169"/>
      <c r="H19" s="187">
        <v>41690.88888888889</v>
      </c>
      <c r="I19" s="189">
        <v>41690.913194444445</v>
      </c>
      <c r="J19" s="166">
        <f>SUM((I19-H19)*24)</f>
        <v>0.5833333333139308</v>
      </c>
      <c r="K19" s="166">
        <f>SUM((I19-H19)*24)</f>
        <v>0.5833333333139308</v>
      </c>
      <c r="L19" s="153" t="s">
        <v>23</v>
      </c>
      <c r="M19" s="190" t="s">
        <v>23</v>
      </c>
      <c r="N19" s="190" t="s">
        <v>23</v>
      </c>
      <c r="O19" s="153" t="s">
        <v>17</v>
      </c>
      <c r="P19" s="154"/>
      <c r="Q19" s="35">
        <f t="shared" si="0"/>
        <v>1</v>
      </c>
      <c r="R19" s="35">
        <f t="shared" si="1"/>
      </c>
      <c r="S19" s="35">
        <f t="shared" si="2"/>
      </c>
      <c r="T19" s="36">
        <f t="shared" si="5"/>
        <v>1</v>
      </c>
      <c r="U19" s="30"/>
      <c r="V19" s="30"/>
      <c r="W19" s="30"/>
    </row>
    <row r="20" spans="1:23" s="34" customFormat="1" ht="12.75">
      <c r="A20" s="150">
        <v>13</v>
      </c>
      <c r="B20" s="175">
        <v>41690.913194444445</v>
      </c>
      <c r="C20" s="175">
        <v>41694.333333333336</v>
      </c>
      <c r="D20" s="158">
        <f>SUM((C20-B20)*24)</f>
        <v>82.08333333337214</v>
      </c>
      <c r="E20" s="177" t="s">
        <v>76</v>
      </c>
      <c r="F20" s="178"/>
      <c r="G20" s="179"/>
      <c r="H20" s="191"/>
      <c r="I20" s="191"/>
      <c r="J20" s="158">
        <f>SUM((I20-H20)*24)</f>
        <v>0</v>
      </c>
      <c r="K20" s="158">
        <f>SUM((I20-H20)*24)</f>
        <v>0</v>
      </c>
      <c r="L20" s="179"/>
      <c r="M20" s="179"/>
      <c r="N20" s="179"/>
      <c r="O20" s="179" t="s">
        <v>21</v>
      </c>
      <c r="P20" s="151"/>
      <c r="Q20" s="35">
        <f t="shared" si="0"/>
      </c>
      <c r="R20" s="35">
        <f t="shared" si="1"/>
        <v>1</v>
      </c>
      <c r="S20" s="35">
        <f t="shared" si="2"/>
      </c>
      <c r="T20" s="36">
        <f t="shared" si="5"/>
        <v>1</v>
      </c>
      <c r="U20" s="30"/>
      <c r="V20" s="30"/>
      <c r="W20" s="30"/>
    </row>
    <row r="21" spans="1:23" s="34" customFormat="1" ht="12.75">
      <c r="A21" s="119"/>
      <c r="B21" s="156"/>
      <c r="C21" s="156"/>
      <c r="D21" s="120">
        <f>SUM(D18:D20)</f>
        <v>117.93333333340706</v>
      </c>
      <c r="E21" s="121"/>
      <c r="F21" s="122"/>
      <c r="G21" s="123"/>
      <c r="H21" s="124"/>
      <c r="I21" s="124"/>
      <c r="J21" s="125">
        <f>SUM(J18:J20)</f>
        <v>2.066666666592937</v>
      </c>
      <c r="K21" s="125">
        <f>SUM(K18:K20)</f>
        <v>2.066666666592937</v>
      </c>
      <c r="L21" s="126"/>
      <c r="M21" s="127"/>
      <c r="N21" s="127"/>
      <c r="O21" s="128"/>
      <c r="P21" s="84"/>
      <c r="Q21" s="35">
        <f t="shared" si="0"/>
      </c>
      <c r="R21" s="35">
        <f t="shared" si="1"/>
      </c>
      <c r="S21" s="35">
        <f t="shared" si="2"/>
      </c>
      <c r="T21" s="36">
        <f t="shared" si="5"/>
        <v>0</v>
      </c>
      <c r="U21" s="30"/>
      <c r="V21" s="30"/>
      <c r="W21" s="30"/>
    </row>
    <row r="22" spans="1:23" s="34" customFormat="1" ht="12.75">
      <c r="A22" s="87"/>
      <c r="B22" s="157"/>
      <c r="C22" s="157"/>
      <c r="D22" s="158">
        <f>SUM((C22-B22)*24)</f>
        <v>0</v>
      </c>
      <c r="E22" s="159"/>
      <c r="F22" s="160"/>
      <c r="G22" s="161"/>
      <c r="H22" s="157">
        <v>41696.333333333336</v>
      </c>
      <c r="I22" s="162">
        <v>41696.39791666667</v>
      </c>
      <c r="J22" s="158">
        <f>SUM((I22-H22)*24)</f>
        <v>1.5499999999883585</v>
      </c>
      <c r="K22" s="158">
        <f>SUM((I22-H22)*24)</f>
        <v>1.5499999999883585</v>
      </c>
      <c r="L22" s="88" t="s">
        <v>85</v>
      </c>
      <c r="M22" s="163" t="s">
        <v>85</v>
      </c>
      <c r="N22" s="163" t="s">
        <v>85</v>
      </c>
      <c r="O22" s="88" t="s">
        <v>67</v>
      </c>
      <c r="P22" s="192" t="s">
        <v>88</v>
      </c>
      <c r="Q22" s="35">
        <f t="shared" si="0"/>
      </c>
      <c r="R22" s="35">
        <f t="shared" si="1"/>
      </c>
      <c r="S22" s="35">
        <f t="shared" si="2"/>
        <v>1</v>
      </c>
      <c r="T22" s="36">
        <f t="shared" si="5"/>
        <v>1</v>
      </c>
      <c r="U22" s="30"/>
      <c r="V22" s="30"/>
      <c r="W22" s="30"/>
    </row>
    <row r="23" spans="1:23" s="34" customFormat="1" ht="12.75">
      <c r="A23" s="85">
        <v>15</v>
      </c>
      <c r="B23" s="165">
        <v>41696.39791666667</v>
      </c>
      <c r="C23" s="170">
        <v>41696.46875</v>
      </c>
      <c r="D23" s="166">
        <f>SUM((C23-B23)*24)</f>
        <v>1.6999999999534339</v>
      </c>
      <c r="E23" s="167" t="s">
        <v>90</v>
      </c>
      <c r="F23" s="168">
        <v>106132</v>
      </c>
      <c r="G23" s="169"/>
      <c r="H23" s="170">
        <v>41696.46875</v>
      </c>
      <c r="I23" s="170">
        <v>41696.49444444444</v>
      </c>
      <c r="J23" s="166">
        <f>SUM((I23-H23)*24)</f>
        <v>0.6166666665812954</v>
      </c>
      <c r="K23" s="166">
        <f>SUM((I23-H23)*24)</f>
        <v>0.6166666665812954</v>
      </c>
      <c r="L23" s="86" t="s">
        <v>23</v>
      </c>
      <c r="M23" s="171" t="s">
        <v>23</v>
      </c>
      <c r="N23" s="171" t="s">
        <v>23</v>
      </c>
      <c r="O23" s="86" t="s">
        <v>17</v>
      </c>
      <c r="P23" s="108"/>
      <c r="Q23" s="35">
        <f t="shared" si="0"/>
        <v>1</v>
      </c>
      <c r="R23" s="35">
        <f t="shared" si="1"/>
      </c>
      <c r="S23" s="35">
        <f t="shared" si="2"/>
      </c>
      <c r="T23" s="36">
        <f t="shared" si="5"/>
        <v>1</v>
      </c>
      <c r="U23" s="30"/>
      <c r="V23" s="30"/>
      <c r="W23" s="30"/>
    </row>
    <row r="24" spans="1:23" s="34" customFormat="1" ht="12.75">
      <c r="A24" s="146">
        <v>16</v>
      </c>
      <c r="B24" s="155">
        <v>41696.49444444444</v>
      </c>
      <c r="C24" s="155">
        <v>41696.65347222222</v>
      </c>
      <c r="D24" s="158">
        <f>SUM((C24-B24)*24)</f>
        <v>3.8166666667093523</v>
      </c>
      <c r="E24" s="147" t="s">
        <v>90</v>
      </c>
      <c r="F24" s="172">
        <v>106134</v>
      </c>
      <c r="G24" s="147"/>
      <c r="H24" s="155">
        <v>41696.65347222222</v>
      </c>
      <c r="I24" s="147">
        <v>41696.69861111111</v>
      </c>
      <c r="J24" s="158">
        <f>SUM((I24-H24)*24)</f>
        <v>1.0833333333721384</v>
      </c>
      <c r="K24" s="158">
        <f>SUM((I24-H24)*24)</f>
        <v>1.0833333333721384</v>
      </c>
      <c r="L24" s="148" t="s">
        <v>23</v>
      </c>
      <c r="M24" s="173" t="s">
        <v>23</v>
      </c>
      <c r="N24" s="173" t="s">
        <v>23</v>
      </c>
      <c r="O24" s="148" t="s">
        <v>17</v>
      </c>
      <c r="P24" s="149" t="s">
        <v>89</v>
      </c>
      <c r="Q24" s="35">
        <f t="shared" si="0"/>
        <v>1</v>
      </c>
      <c r="R24" s="35">
        <f t="shared" si="1"/>
      </c>
      <c r="S24" s="35">
        <f t="shared" si="2"/>
      </c>
      <c r="T24" s="36">
        <f t="shared" si="5"/>
        <v>1</v>
      </c>
      <c r="U24" s="30"/>
      <c r="V24" s="30"/>
      <c r="W24" s="30"/>
    </row>
    <row r="25" spans="1:23" s="34" customFormat="1" ht="12.75">
      <c r="A25" s="85">
        <v>17</v>
      </c>
      <c r="B25" s="164">
        <v>41696.69861111111</v>
      </c>
      <c r="C25" s="165">
        <v>41697.10972222222</v>
      </c>
      <c r="D25" s="166">
        <f>SUM((C25-B25)*24)</f>
        <v>9.86666666669771</v>
      </c>
      <c r="E25" s="167" t="s">
        <v>91</v>
      </c>
      <c r="F25" s="168">
        <v>106135</v>
      </c>
      <c r="G25" s="169"/>
      <c r="H25" s="165">
        <v>41697.10972222222</v>
      </c>
      <c r="I25" s="170">
        <v>41697.15902777778</v>
      </c>
      <c r="J25" s="166">
        <f>SUM((I25-H25)*24)</f>
        <v>1.1833333333488554</v>
      </c>
      <c r="K25" s="166">
        <f>SUM((I25-H25)*24)</f>
        <v>1.1833333333488554</v>
      </c>
      <c r="L25" s="86" t="s">
        <v>22</v>
      </c>
      <c r="M25" s="171" t="s">
        <v>22</v>
      </c>
      <c r="N25" s="171" t="s">
        <v>22</v>
      </c>
      <c r="O25" s="86" t="s">
        <v>17</v>
      </c>
      <c r="P25" s="108"/>
      <c r="Q25" s="35">
        <f t="shared" si="0"/>
        <v>1</v>
      </c>
      <c r="R25" s="35">
        <f t="shared" si="1"/>
      </c>
      <c r="S25" s="35">
        <f t="shared" si="2"/>
      </c>
      <c r="T25" s="36">
        <f t="shared" si="5"/>
        <v>1</v>
      </c>
      <c r="U25" s="30"/>
      <c r="V25" s="30"/>
      <c r="W25" s="30"/>
    </row>
    <row r="26" spans="1:23" s="34" customFormat="1" ht="12" customHeight="1">
      <c r="A26" s="150">
        <v>18</v>
      </c>
      <c r="B26" s="175">
        <v>41697.15902777778</v>
      </c>
      <c r="C26" s="176">
        <v>41702.333333333336</v>
      </c>
      <c r="D26" s="158">
        <f>SUM((C26-B26)*24)</f>
        <v>124.18333333334886</v>
      </c>
      <c r="E26" s="177" t="s">
        <v>75</v>
      </c>
      <c r="F26" s="178"/>
      <c r="G26" s="179"/>
      <c r="H26" s="180"/>
      <c r="I26" s="181"/>
      <c r="J26" s="158">
        <f>SUM((I26-H26)*24)</f>
        <v>0</v>
      </c>
      <c r="K26" s="158">
        <f>SUM((I26-H26)*24)</f>
        <v>0</v>
      </c>
      <c r="L26" s="152"/>
      <c r="M26" s="182"/>
      <c r="N26" s="182"/>
      <c r="O26" s="152" t="s">
        <v>21</v>
      </c>
      <c r="P26" s="151"/>
      <c r="Q26" s="35">
        <f t="shared" si="0"/>
      </c>
      <c r="R26" s="35">
        <f t="shared" si="1"/>
        <v>1</v>
      </c>
      <c r="S26" s="35">
        <f t="shared" si="2"/>
      </c>
      <c r="T26" s="36">
        <f t="shared" si="5"/>
        <v>1</v>
      </c>
      <c r="U26" s="30"/>
      <c r="V26" s="30"/>
      <c r="W26" s="30"/>
    </row>
    <row r="27" spans="1:23" s="34" customFormat="1" ht="12.75">
      <c r="A27" s="119"/>
      <c r="B27" s="156"/>
      <c r="C27" s="156"/>
      <c r="D27" s="183">
        <f>SUM(D22:D26)</f>
        <v>139.56666666670935</v>
      </c>
      <c r="E27" s="124"/>
      <c r="F27" s="184"/>
      <c r="G27" s="124"/>
      <c r="H27" s="124"/>
      <c r="I27" s="124"/>
      <c r="J27" s="185">
        <f>SUM(J22:J26)</f>
        <v>4.433333333290648</v>
      </c>
      <c r="K27" s="185">
        <f>SUM(K22:K26)</f>
        <v>4.433333333290648</v>
      </c>
      <c r="L27" s="128"/>
      <c r="M27" s="186"/>
      <c r="N27" s="186"/>
      <c r="O27" s="128"/>
      <c r="P27" s="84"/>
      <c r="Q27" s="35">
        <f t="shared" si="0"/>
      </c>
      <c r="R27" s="35">
        <f t="shared" si="1"/>
      </c>
      <c r="S27" s="35">
        <f t="shared" si="2"/>
      </c>
      <c r="T27" s="36">
        <f t="shared" si="5"/>
        <v>0</v>
      </c>
      <c r="U27" s="30"/>
      <c r="V27" s="30"/>
      <c r="W27" s="30"/>
    </row>
    <row r="28" spans="1:23" s="34" customFormat="1" ht="12.75">
      <c r="A28" s="85">
        <v>19</v>
      </c>
      <c r="B28" s="164">
        <v>41703.333333333336</v>
      </c>
      <c r="C28" s="165">
        <v>41709.333333333336</v>
      </c>
      <c r="D28" s="166">
        <f>SUM((C28-B28)*24-1)</f>
        <v>143</v>
      </c>
      <c r="E28" s="167" t="s">
        <v>76</v>
      </c>
      <c r="F28" s="168"/>
      <c r="G28" s="169"/>
      <c r="H28" s="174"/>
      <c r="I28" s="170"/>
      <c r="J28" s="166">
        <f>SUM((I28-H28)*24)</f>
        <v>0</v>
      </c>
      <c r="K28" s="166">
        <f>SUM((I28-H28)*24)</f>
        <v>0</v>
      </c>
      <c r="L28" s="86"/>
      <c r="M28" s="171"/>
      <c r="N28" s="171"/>
      <c r="O28" s="86" t="s">
        <v>21</v>
      </c>
      <c r="P28" s="108"/>
      <c r="Q28" s="35">
        <f t="shared" si="0"/>
      </c>
      <c r="R28" s="35">
        <f t="shared" si="1"/>
        <v>1</v>
      </c>
      <c r="S28" s="35">
        <f t="shared" si="2"/>
      </c>
      <c r="T28" s="36">
        <f t="shared" si="5"/>
        <v>1</v>
      </c>
      <c r="U28" s="30"/>
      <c r="V28" s="30"/>
      <c r="W28" s="30"/>
    </row>
    <row r="29" spans="1:23" s="34" customFormat="1" ht="12.75">
      <c r="A29" s="119"/>
      <c r="B29" s="156"/>
      <c r="C29" s="156"/>
      <c r="D29" s="183">
        <f>SUM(D28)</f>
        <v>143</v>
      </c>
      <c r="E29" s="124"/>
      <c r="F29" s="184"/>
      <c r="G29" s="124"/>
      <c r="H29" s="124"/>
      <c r="I29" s="124"/>
      <c r="J29" s="185"/>
      <c r="K29" s="185"/>
      <c r="L29" s="128"/>
      <c r="M29" s="186"/>
      <c r="N29" s="186"/>
      <c r="O29" s="128"/>
      <c r="P29" s="84"/>
      <c r="Q29" s="35">
        <f t="shared" si="0"/>
      </c>
      <c r="R29" s="35">
        <f t="shared" si="1"/>
      </c>
      <c r="S29" s="35">
        <f t="shared" si="2"/>
      </c>
      <c r="T29" s="36">
        <f t="shared" si="5"/>
        <v>0</v>
      </c>
      <c r="U29" s="30"/>
      <c r="V29" s="30"/>
      <c r="W29" s="30"/>
    </row>
    <row r="30" spans="1:23" s="34" customFormat="1" ht="12.75">
      <c r="A30" s="85">
        <v>20</v>
      </c>
      <c r="B30" s="164">
        <v>41710.333333333336</v>
      </c>
      <c r="C30" s="165">
        <v>41716.333333333336</v>
      </c>
      <c r="D30" s="166">
        <f>SUM((C30-B30)*24)</f>
        <v>144</v>
      </c>
      <c r="E30" s="167" t="s">
        <v>76</v>
      </c>
      <c r="F30" s="168"/>
      <c r="G30" s="169"/>
      <c r="H30" s="174"/>
      <c r="I30" s="170"/>
      <c r="J30" s="166">
        <f>SUM((I30-H30)*24)</f>
        <v>0</v>
      </c>
      <c r="K30" s="166">
        <f>SUM((I30-H30)*24)</f>
        <v>0</v>
      </c>
      <c r="L30" s="86"/>
      <c r="M30" s="171"/>
      <c r="N30" s="171"/>
      <c r="O30" s="86" t="s">
        <v>21</v>
      </c>
      <c r="P30" s="108"/>
      <c r="Q30" s="35">
        <f t="shared" si="0"/>
      </c>
      <c r="R30" s="35">
        <f t="shared" si="1"/>
        <v>1</v>
      </c>
      <c r="S30" s="35">
        <f t="shared" si="2"/>
      </c>
      <c r="T30" s="36">
        <f aca="true" t="shared" si="6" ref="T30:T40">SUM(Q30:S30)</f>
        <v>1</v>
      </c>
      <c r="U30" s="30"/>
      <c r="V30" s="30"/>
      <c r="W30" s="30"/>
    </row>
    <row r="31" spans="1:23" s="34" customFormat="1" ht="12.75">
      <c r="A31" s="119"/>
      <c r="B31" s="156"/>
      <c r="C31" s="156"/>
      <c r="D31" s="183">
        <f>SUM(D30)</f>
        <v>144</v>
      </c>
      <c r="E31" s="124"/>
      <c r="F31" s="184"/>
      <c r="G31" s="124"/>
      <c r="H31" s="124"/>
      <c r="I31" s="124"/>
      <c r="J31" s="185"/>
      <c r="K31" s="185"/>
      <c r="L31" s="128"/>
      <c r="M31" s="186"/>
      <c r="N31" s="186"/>
      <c r="O31" s="128"/>
      <c r="P31" s="84"/>
      <c r="Q31" s="35">
        <f t="shared" si="0"/>
      </c>
      <c r="R31" s="35">
        <f t="shared" si="1"/>
      </c>
      <c r="S31" s="35">
        <f t="shared" si="2"/>
      </c>
      <c r="T31" s="36">
        <f t="shared" si="6"/>
        <v>0</v>
      </c>
      <c r="U31" s="30"/>
      <c r="V31" s="30"/>
      <c r="W31" s="30"/>
    </row>
    <row r="32" spans="1:23" s="34" customFormat="1" ht="12.75">
      <c r="A32" s="85">
        <v>21</v>
      </c>
      <c r="B32" s="164">
        <v>41717.333333333336</v>
      </c>
      <c r="C32" s="165">
        <v>41722.333333333336</v>
      </c>
      <c r="D32" s="166">
        <f>SUM((C32-B32)*24)</f>
        <v>120</v>
      </c>
      <c r="E32" s="167" t="s">
        <v>76</v>
      </c>
      <c r="F32" s="168"/>
      <c r="G32" s="169"/>
      <c r="H32" s="174"/>
      <c r="I32" s="170"/>
      <c r="J32" s="166">
        <f>SUM((I32-H32)*24)</f>
        <v>0</v>
      </c>
      <c r="K32" s="166">
        <f>SUM((I32-H32)*24)</f>
        <v>0</v>
      </c>
      <c r="L32" s="86"/>
      <c r="M32" s="171"/>
      <c r="N32" s="171"/>
      <c r="O32" s="86" t="s">
        <v>21</v>
      </c>
      <c r="P32" s="108"/>
      <c r="Q32" s="35">
        <f t="shared" si="0"/>
      </c>
      <c r="R32" s="35">
        <f t="shared" si="1"/>
        <v>1</v>
      </c>
      <c r="S32" s="35">
        <f t="shared" si="2"/>
      </c>
      <c r="T32" s="36">
        <f t="shared" si="6"/>
        <v>1</v>
      </c>
      <c r="U32" s="30"/>
      <c r="V32" s="30"/>
      <c r="W32" s="30"/>
    </row>
    <row r="33" spans="1:23" s="34" customFormat="1" ht="12.75">
      <c r="A33" s="119"/>
      <c r="B33" s="156"/>
      <c r="C33" s="156"/>
      <c r="D33" s="183">
        <f>SUM(D32)</f>
        <v>120</v>
      </c>
      <c r="E33" s="124"/>
      <c r="F33" s="184"/>
      <c r="G33" s="124"/>
      <c r="H33" s="124"/>
      <c r="I33" s="124"/>
      <c r="J33" s="185"/>
      <c r="K33" s="185"/>
      <c r="L33" s="128"/>
      <c r="M33" s="186"/>
      <c r="N33" s="186"/>
      <c r="O33" s="128"/>
      <c r="P33" s="84"/>
      <c r="Q33" s="35">
        <f t="shared" si="0"/>
      </c>
      <c r="R33" s="35">
        <f t="shared" si="1"/>
      </c>
      <c r="S33" s="35">
        <f t="shared" si="2"/>
      </c>
      <c r="T33" s="36">
        <f t="shared" si="6"/>
        <v>0</v>
      </c>
      <c r="U33" s="30"/>
      <c r="V33" s="30"/>
      <c r="W33" s="30"/>
    </row>
    <row r="34" spans="1:23" s="34" customFormat="1" ht="12.75">
      <c r="A34" s="85">
        <v>22</v>
      </c>
      <c r="B34" s="164">
        <v>41724.333333333336</v>
      </c>
      <c r="C34" s="165">
        <v>41730.333333333336</v>
      </c>
      <c r="D34" s="166">
        <f>SUM((C34-B34)*24)</f>
        <v>144</v>
      </c>
      <c r="E34" s="167" t="s">
        <v>76</v>
      </c>
      <c r="F34" s="168"/>
      <c r="G34" s="169"/>
      <c r="H34" s="174"/>
      <c r="I34" s="170"/>
      <c r="J34" s="166">
        <f>SUM((I34-H34)*24)</f>
        <v>0</v>
      </c>
      <c r="K34" s="166">
        <f>SUM((I34-H34)*24)</f>
        <v>0</v>
      </c>
      <c r="L34" s="86"/>
      <c r="M34" s="171"/>
      <c r="N34" s="171"/>
      <c r="O34" s="86" t="s">
        <v>21</v>
      </c>
      <c r="P34" s="108"/>
      <c r="Q34" s="35">
        <f t="shared" si="0"/>
      </c>
      <c r="R34" s="35">
        <f t="shared" si="1"/>
        <v>1</v>
      </c>
      <c r="S34" s="35">
        <f t="shared" si="2"/>
      </c>
      <c r="T34" s="36">
        <f t="shared" si="6"/>
        <v>1</v>
      </c>
      <c r="U34" s="30"/>
      <c r="V34" s="30"/>
      <c r="W34" s="30"/>
    </row>
    <row r="35" spans="1:23" s="34" customFormat="1" ht="12.75">
      <c r="A35" s="119"/>
      <c r="B35" s="156"/>
      <c r="C35" s="156"/>
      <c r="D35" s="183">
        <f>SUM(D34)</f>
        <v>144</v>
      </c>
      <c r="E35" s="124"/>
      <c r="F35" s="184"/>
      <c r="G35" s="124"/>
      <c r="H35" s="124"/>
      <c r="I35" s="124"/>
      <c r="J35" s="185"/>
      <c r="K35" s="185"/>
      <c r="L35" s="128"/>
      <c r="M35" s="186"/>
      <c r="N35" s="186"/>
      <c r="O35" s="128"/>
      <c r="P35" s="84"/>
      <c r="Q35" s="35">
        <f t="shared" si="0"/>
      </c>
      <c r="R35" s="35">
        <f t="shared" si="1"/>
      </c>
      <c r="S35" s="35">
        <f t="shared" si="2"/>
      </c>
      <c r="T35" s="36">
        <f t="shared" si="6"/>
        <v>0</v>
      </c>
      <c r="U35" s="30"/>
      <c r="V35" s="30"/>
      <c r="W35" s="30"/>
    </row>
    <row r="36" spans="1:23" s="34" customFormat="1" ht="12.75">
      <c r="A36" s="85">
        <v>23</v>
      </c>
      <c r="B36" s="164">
        <v>41731.333333333336</v>
      </c>
      <c r="C36" s="165">
        <v>41737.333333333336</v>
      </c>
      <c r="D36" s="166">
        <f>SUM((C36-B36)*24)</f>
        <v>144</v>
      </c>
      <c r="E36" s="167" t="s">
        <v>76</v>
      </c>
      <c r="F36" s="168"/>
      <c r="G36" s="169"/>
      <c r="H36" s="174"/>
      <c r="I36" s="170"/>
      <c r="J36" s="166">
        <f>SUM((I36-H36)*24)</f>
        <v>0</v>
      </c>
      <c r="K36" s="166">
        <f>SUM((I36-H36)*24)</f>
        <v>0</v>
      </c>
      <c r="L36" s="86"/>
      <c r="M36" s="171"/>
      <c r="N36" s="171"/>
      <c r="O36" s="86" t="s">
        <v>21</v>
      </c>
      <c r="P36" s="108"/>
      <c r="Q36" s="35">
        <f t="shared" si="0"/>
      </c>
      <c r="R36" s="35">
        <f t="shared" si="1"/>
        <v>1</v>
      </c>
      <c r="S36" s="35">
        <f t="shared" si="2"/>
      </c>
      <c r="T36" s="36">
        <f t="shared" si="6"/>
        <v>1</v>
      </c>
      <c r="U36" s="30"/>
      <c r="V36" s="30"/>
      <c r="W36" s="30"/>
    </row>
    <row r="37" spans="1:23" s="34" customFormat="1" ht="12.75">
      <c r="A37" s="119"/>
      <c r="B37" s="156"/>
      <c r="C37" s="156"/>
      <c r="D37" s="183">
        <f>SUM(D36)</f>
        <v>144</v>
      </c>
      <c r="E37" s="124"/>
      <c r="F37" s="184"/>
      <c r="G37" s="124"/>
      <c r="H37" s="124"/>
      <c r="I37" s="124"/>
      <c r="J37" s="185"/>
      <c r="K37" s="185"/>
      <c r="L37" s="128"/>
      <c r="M37" s="186"/>
      <c r="N37" s="186"/>
      <c r="O37" s="128"/>
      <c r="P37" s="84"/>
      <c r="Q37" s="35">
        <f t="shared" si="0"/>
      </c>
      <c r="R37" s="35">
        <f t="shared" si="1"/>
      </c>
      <c r="S37" s="35">
        <f t="shared" si="2"/>
      </c>
      <c r="T37" s="36">
        <f t="shared" si="6"/>
        <v>0</v>
      </c>
      <c r="U37" s="30"/>
      <c r="V37" s="30"/>
      <c r="W37" s="30"/>
    </row>
    <row r="38" spans="1:23" s="34" customFormat="1" ht="12.75">
      <c r="A38" s="85">
        <v>24</v>
      </c>
      <c r="B38" s="187">
        <v>41738.333333333336</v>
      </c>
      <c r="C38" s="187">
        <v>41743.131944444445</v>
      </c>
      <c r="D38" s="166">
        <f>SUM((C38-B38)*24)</f>
        <v>115.16666666662786</v>
      </c>
      <c r="E38" s="188" t="s">
        <v>92</v>
      </c>
      <c r="F38" s="168">
        <v>106150</v>
      </c>
      <c r="G38" s="169"/>
      <c r="H38" s="187">
        <v>41743.131944444445</v>
      </c>
      <c r="I38" s="189">
        <v>41743.38125</v>
      </c>
      <c r="J38" s="166">
        <f>SUM((I38-H38)*24)</f>
        <v>5.983333333279006</v>
      </c>
      <c r="K38" s="166">
        <f>SUM((I38-H38)*24)</f>
        <v>5.983333333279006</v>
      </c>
      <c r="L38" s="153" t="s">
        <v>68</v>
      </c>
      <c r="M38" s="190" t="s">
        <v>68</v>
      </c>
      <c r="N38" s="190" t="s">
        <v>68</v>
      </c>
      <c r="O38" s="153" t="s">
        <v>17</v>
      </c>
      <c r="P38" s="154"/>
      <c r="Q38" s="35">
        <f t="shared" si="0"/>
        <v>1</v>
      </c>
      <c r="R38" s="35">
        <f t="shared" si="1"/>
      </c>
      <c r="S38" s="35">
        <f t="shared" si="2"/>
      </c>
      <c r="T38" s="36">
        <f t="shared" si="6"/>
        <v>1</v>
      </c>
      <c r="U38" s="30"/>
      <c r="V38" s="30"/>
      <c r="W38" s="30"/>
    </row>
    <row r="39" spans="1:23" s="34" customFormat="1" ht="12.75">
      <c r="A39" s="150">
        <v>25</v>
      </c>
      <c r="B39" s="175">
        <v>41743.38125</v>
      </c>
      <c r="C39" s="175">
        <v>41744.333333333336</v>
      </c>
      <c r="D39" s="158">
        <f>SUM((C39-B39)*24)</f>
        <v>22.850000000093132</v>
      </c>
      <c r="E39" s="177" t="s">
        <v>76</v>
      </c>
      <c r="F39" s="178"/>
      <c r="G39" s="179"/>
      <c r="H39" s="191"/>
      <c r="I39" s="191"/>
      <c r="J39" s="158">
        <f>SUM((I39-H39)*24)</f>
        <v>0</v>
      </c>
      <c r="K39" s="158">
        <f>SUM((I39-H39)*24)</f>
        <v>0</v>
      </c>
      <c r="L39" s="179"/>
      <c r="M39" s="179"/>
      <c r="N39" s="179"/>
      <c r="O39" s="179" t="s">
        <v>21</v>
      </c>
      <c r="P39" s="151"/>
      <c r="Q39" s="35">
        <f t="shared" si="0"/>
      </c>
      <c r="R39" s="35">
        <f t="shared" si="1"/>
        <v>1</v>
      </c>
      <c r="S39" s="35">
        <f t="shared" si="2"/>
      </c>
      <c r="T39" s="36">
        <f t="shared" si="6"/>
        <v>1</v>
      </c>
      <c r="U39" s="30"/>
      <c r="V39" s="30"/>
      <c r="W39" s="30"/>
    </row>
    <row r="40" spans="1:23" s="34" customFormat="1" ht="12.75">
      <c r="A40" s="119"/>
      <c r="B40" s="156"/>
      <c r="C40" s="156"/>
      <c r="D40" s="120">
        <f>SUM(D38:D39)</f>
        <v>138.016666666721</v>
      </c>
      <c r="E40" s="121"/>
      <c r="F40" s="122"/>
      <c r="G40" s="123"/>
      <c r="H40" s="124"/>
      <c r="I40" s="124"/>
      <c r="J40" s="125">
        <f>SUM(J38:J39)</f>
        <v>5.983333333279006</v>
      </c>
      <c r="K40" s="125">
        <f>SUM(K38:K39)</f>
        <v>5.983333333279006</v>
      </c>
      <c r="L40" s="126"/>
      <c r="M40" s="127"/>
      <c r="N40" s="127"/>
      <c r="O40" s="128"/>
      <c r="P40" s="84"/>
      <c r="Q40" s="35">
        <f t="shared" si="0"/>
      </c>
      <c r="R40" s="35">
        <f t="shared" si="1"/>
      </c>
      <c r="S40" s="35">
        <f t="shared" si="2"/>
      </c>
      <c r="T40" s="36">
        <f t="shared" si="6"/>
        <v>0</v>
      </c>
      <c r="U40" s="30"/>
      <c r="V40" s="30"/>
      <c r="W40" s="30"/>
    </row>
    <row r="41" spans="1:23" s="34" customFormat="1" ht="12.75">
      <c r="A41" s="85">
        <v>26</v>
      </c>
      <c r="B41" s="164">
        <v>41745.333333333336</v>
      </c>
      <c r="C41" s="165">
        <v>41750.333333333336</v>
      </c>
      <c r="D41" s="166">
        <f>SUM((C41-B41)*24)</f>
        <v>120</v>
      </c>
      <c r="E41" s="167" t="s">
        <v>76</v>
      </c>
      <c r="F41" s="168"/>
      <c r="G41" s="169"/>
      <c r="H41" s="174"/>
      <c r="I41" s="170"/>
      <c r="J41" s="166">
        <f>SUM((I41-H41)*24)</f>
        <v>0</v>
      </c>
      <c r="K41" s="166">
        <f>SUM((I41-H41)*24)</f>
        <v>0</v>
      </c>
      <c r="L41" s="86"/>
      <c r="M41" s="171"/>
      <c r="N41" s="171"/>
      <c r="O41" s="86" t="s">
        <v>21</v>
      </c>
      <c r="P41" s="108"/>
      <c r="Q41" s="35">
        <f t="shared" si="0"/>
      </c>
      <c r="R41" s="35">
        <f t="shared" si="1"/>
        <v>1</v>
      </c>
      <c r="S41" s="35">
        <f t="shared" si="2"/>
      </c>
      <c r="T41" s="36">
        <f>SUM(Q41:S41)</f>
        <v>1</v>
      </c>
      <c r="U41" s="30"/>
      <c r="V41" s="30"/>
      <c r="W41" s="30"/>
    </row>
    <row r="42" spans="1:23" s="34" customFormat="1" ht="12.75">
      <c r="A42" s="119"/>
      <c r="B42" s="156"/>
      <c r="C42" s="156"/>
      <c r="D42" s="183">
        <f>SUM(D41)</f>
        <v>120</v>
      </c>
      <c r="E42" s="124"/>
      <c r="F42" s="184"/>
      <c r="G42" s="124"/>
      <c r="H42" s="124"/>
      <c r="I42" s="124"/>
      <c r="J42" s="185"/>
      <c r="K42" s="185"/>
      <c r="L42" s="128"/>
      <c r="M42" s="186"/>
      <c r="N42" s="186"/>
      <c r="O42" s="128"/>
      <c r="P42" s="84"/>
      <c r="Q42" s="35">
        <f t="shared" si="0"/>
      </c>
      <c r="R42" s="35">
        <f t="shared" si="1"/>
      </c>
      <c r="S42" s="35">
        <f t="shared" si="2"/>
      </c>
      <c r="T42" s="36">
        <f>SUM(Q42:S42)</f>
        <v>0</v>
      </c>
      <c r="U42" s="30"/>
      <c r="V42" s="30"/>
      <c r="W42" s="30"/>
    </row>
    <row r="43" spans="1:23" s="142" customFormat="1" ht="12.75">
      <c r="A43" s="130"/>
      <c r="B43" s="131"/>
      <c r="C43" s="131"/>
      <c r="D43" s="132"/>
      <c r="E43" s="133"/>
      <c r="F43" s="134"/>
      <c r="G43" s="135"/>
      <c r="H43" s="131"/>
      <c r="I43" s="131"/>
      <c r="J43" s="136"/>
      <c r="K43" s="136"/>
      <c r="L43" s="137"/>
      <c r="M43" s="138"/>
      <c r="N43" s="138"/>
      <c r="O43" s="139"/>
      <c r="P43" s="133"/>
      <c r="Q43" s="140"/>
      <c r="R43" s="140"/>
      <c r="S43" s="140"/>
      <c r="T43" s="140"/>
      <c r="U43" s="141"/>
      <c r="V43" s="141"/>
      <c r="W43" s="141"/>
    </row>
    <row r="44" spans="1:18" ht="12.75">
      <c r="A44" s="28"/>
      <c r="B44" s="14"/>
      <c r="C44" s="37" t="s">
        <v>25</v>
      </c>
      <c r="D44" s="38">
        <f>Q46</f>
        <v>11</v>
      </c>
      <c r="E44" s="16"/>
      <c r="F44" s="29"/>
      <c r="G44" s="18"/>
      <c r="H44" s="19"/>
      <c r="I44" s="19"/>
      <c r="J44" s="39" t="s">
        <v>26</v>
      </c>
      <c r="K44" s="40"/>
      <c r="L44" s="21"/>
      <c r="M44" s="22"/>
      <c r="N44" s="22"/>
      <c r="O44" s="41"/>
      <c r="P44" s="23"/>
      <c r="R44" s="12">
        <f>IF($L44="Scheduled",1,"")</f>
      </c>
    </row>
    <row r="45" spans="1:18" ht="12.75">
      <c r="A45" s="28"/>
      <c r="B45" s="14"/>
      <c r="C45" s="37" t="s">
        <v>27</v>
      </c>
      <c r="D45" s="38">
        <f>D46-D44</f>
        <v>12</v>
      </c>
      <c r="E45" s="16"/>
      <c r="F45" s="29"/>
      <c r="G45" s="18"/>
      <c r="H45" s="19"/>
      <c r="I45" s="19"/>
      <c r="J45" s="15" t="s">
        <v>28</v>
      </c>
      <c r="K45" s="42" t="s">
        <v>13</v>
      </c>
      <c r="L45" s="21"/>
      <c r="M45" s="22"/>
      <c r="N45" s="22"/>
      <c r="O45" s="41"/>
      <c r="P45" s="23"/>
      <c r="R45" s="12">
        <f>IF($L45="Scheduled",1,"")</f>
      </c>
    </row>
    <row r="46" spans="1:29" ht="12.75">
      <c r="A46" s="28"/>
      <c r="B46" s="14"/>
      <c r="C46" s="37" t="s">
        <v>29</v>
      </c>
      <c r="D46" s="43">
        <f>COUNT(A6:A141)</f>
        <v>23</v>
      </c>
      <c r="E46" s="16"/>
      <c r="F46" s="29"/>
      <c r="G46" s="18"/>
      <c r="H46" s="19"/>
      <c r="I46" s="19"/>
      <c r="J46" s="44">
        <f>SUM(J6:J43)/2</f>
        <v>22.316666666418314</v>
      </c>
      <c r="K46" s="44">
        <f>SUM(K6:K43)/2</f>
        <v>22.316666666418314</v>
      </c>
      <c r="L46" s="21"/>
      <c r="M46" s="22"/>
      <c r="N46" s="22"/>
      <c r="O46" s="41"/>
      <c r="P46" s="23"/>
      <c r="Q46" s="43">
        <f>SUM(Q1:Q43)</f>
        <v>11</v>
      </c>
      <c r="R46" s="43">
        <f>SUM(R1:R43)</f>
        <v>12</v>
      </c>
      <c r="S46" s="43">
        <f>SUM(S1:S43)</f>
        <v>2</v>
      </c>
      <c r="T46" s="43">
        <f>SUM(T1:T43)</f>
        <v>25</v>
      </c>
      <c r="AA46" s="30"/>
      <c r="AB46" s="30"/>
      <c r="AC46" s="30"/>
    </row>
    <row r="47" spans="1:19" ht="12.75">
      <c r="A47" s="28"/>
      <c r="B47" s="14"/>
      <c r="C47" s="37"/>
      <c r="D47" s="15"/>
      <c r="E47" s="16"/>
      <c r="F47" s="29"/>
      <c r="G47" s="18"/>
      <c r="H47" s="19"/>
      <c r="I47" s="19"/>
      <c r="J47" s="15"/>
      <c r="K47" s="20"/>
      <c r="L47" s="21"/>
      <c r="M47" s="22"/>
      <c r="N47" s="22"/>
      <c r="O47" s="21"/>
      <c r="P47" s="23"/>
      <c r="R47" s="45" t="s">
        <v>21</v>
      </c>
      <c r="S47" s="12" t="s">
        <v>30</v>
      </c>
    </row>
    <row r="48" spans="1:26" ht="12.75">
      <c r="A48" s="28"/>
      <c r="B48" s="14"/>
      <c r="C48" s="37" t="s">
        <v>31</v>
      </c>
      <c r="D48" s="15">
        <f>SUM(D6:D43)/2</f>
        <v>1656.6833333335817</v>
      </c>
      <c r="E48" s="46">
        <f>D48/24</f>
        <v>69.02847222223257</v>
      </c>
      <c r="F48" s="47" t="s">
        <v>32</v>
      </c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>
        <f>IF($O50="Store Lost",1,"")</f>
      </c>
      <c r="T48" s="48"/>
      <c r="U48" s="30"/>
      <c r="V48" s="30"/>
      <c r="W48" s="30"/>
      <c r="X48" s="30"/>
      <c r="Y48" s="30"/>
      <c r="Z48" s="30"/>
    </row>
    <row r="49" spans="1:17" ht="12.75">
      <c r="A49" s="28"/>
      <c r="B49" s="14"/>
      <c r="C49" s="37" t="s">
        <v>33</v>
      </c>
      <c r="D49" s="15">
        <f>J46</f>
        <v>22.316666666418314</v>
      </c>
      <c r="E49" s="16" t="s">
        <v>34</v>
      </c>
      <c r="F49" s="29"/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>
        <f>IF($O51="Store Lost",1,"")</f>
      </c>
    </row>
    <row r="50" spans="1:17" ht="12.75">
      <c r="A50" s="28"/>
      <c r="B50" s="14"/>
      <c r="C50" s="37" t="s">
        <v>35</v>
      </c>
      <c r="D50" s="43">
        <f>SUM(D48:D49)</f>
        <v>1679</v>
      </c>
      <c r="E50" s="46"/>
      <c r="F50" s="29"/>
      <c r="G50" s="18"/>
      <c r="H50" s="19"/>
      <c r="I50" s="19"/>
      <c r="J50" s="15"/>
      <c r="K50" s="20"/>
      <c r="L50" s="21"/>
      <c r="M50" s="22"/>
      <c r="N50" s="22"/>
      <c r="O50" s="21"/>
      <c r="P50" s="23"/>
      <c r="Q50" s="12">
        <f>IF($O52="Store Lost",1,"")</f>
      </c>
    </row>
    <row r="51" spans="1:18" ht="12.75">
      <c r="A51" s="28"/>
      <c r="B51" s="14"/>
      <c r="C51" s="37"/>
      <c r="D51" s="49"/>
      <c r="E51" s="50"/>
      <c r="F51" s="29"/>
      <c r="G51" s="18"/>
      <c r="H51" s="15"/>
      <c r="I51" s="19"/>
      <c r="J51" s="15"/>
      <c r="K51" s="20"/>
      <c r="L51" s="21"/>
      <c r="M51" s="22"/>
      <c r="N51" s="22"/>
      <c r="O51" s="21"/>
      <c r="P51" s="23"/>
      <c r="Q51" s="51">
        <f>Q46+R46</f>
        <v>23</v>
      </c>
      <c r="R51" s="12">
        <f>IF($P53="Store Lost",1,"")</f>
      </c>
    </row>
    <row r="52" spans="1:20" ht="12.75">
      <c r="A52" s="28"/>
      <c r="B52" s="14"/>
      <c r="C52" s="37"/>
      <c r="D52" s="49"/>
      <c r="E52" s="16"/>
      <c r="F52" s="29"/>
      <c r="G52" s="18"/>
      <c r="H52" s="19"/>
      <c r="I52" s="19"/>
      <c r="J52" s="15"/>
      <c r="K52" s="20"/>
      <c r="L52" s="21"/>
      <c r="M52" s="22"/>
      <c r="N52" s="22"/>
      <c r="O52" s="21"/>
      <c r="P52" s="23"/>
      <c r="Q52" s="23"/>
      <c r="R52" s="12">
        <f>IF($P54="Store Lost",1,"")</f>
      </c>
      <c r="S52" s="30"/>
      <c r="T52" s="30"/>
    </row>
    <row r="53" spans="1:18" ht="12.75">
      <c r="A53" s="28"/>
      <c r="B53" s="14"/>
      <c r="C53" s="37" t="s">
        <v>36</v>
      </c>
      <c r="D53" s="52">
        <f>IF(D44,D48/D44,D48)</f>
        <v>150.60757575759834</v>
      </c>
      <c r="E53" s="16"/>
      <c r="F53" s="29"/>
      <c r="G53" s="18"/>
      <c r="J53" s="7"/>
      <c r="K53" s="53"/>
      <c r="Q53" s="23"/>
      <c r="R53" s="12">
        <f>IF($P55="Store Lost",1,"")</f>
      </c>
    </row>
    <row r="54" spans="1:18" ht="12.75">
      <c r="A54" s="28"/>
      <c r="B54" s="14"/>
      <c r="C54" s="37" t="s">
        <v>37</v>
      </c>
      <c r="D54" s="49">
        <f>IF(D44,24/D53,0)</f>
        <v>0.15935453365657914</v>
      </c>
      <c r="E54" s="54"/>
      <c r="F54" s="55"/>
      <c r="G54" s="56"/>
      <c r="K54" s="53"/>
      <c r="Q54" s="23"/>
      <c r="R54" s="12" t="e">
        <f>NA()</f>
        <v>#N/A</v>
      </c>
    </row>
    <row r="55" spans="1:18" ht="12.75">
      <c r="A55" s="28"/>
      <c r="B55" s="14"/>
      <c r="C55" s="37" t="s">
        <v>38</v>
      </c>
      <c r="D55" s="143">
        <f>D48/D50</f>
        <v>0.9867083581498401</v>
      </c>
      <c r="E55" s="57"/>
      <c r="F55" s="29"/>
      <c r="G55" s="18"/>
      <c r="K55" s="53"/>
      <c r="Q55" s="23"/>
      <c r="R55" s="12" t="e">
        <f>NA()</f>
        <v>#N/A</v>
      </c>
    </row>
    <row r="56" spans="1:29" s="58" customFormat="1" ht="12.75">
      <c r="A56" s="28"/>
      <c r="B56" s="14"/>
      <c r="C56" s="14"/>
      <c r="D56" s="15"/>
      <c r="E56" s="16"/>
      <c r="F56" s="29"/>
      <c r="G56" s="18"/>
      <c r="H56" s="7"/>
      <c r="I56" s="7"/>
      <c r="J56" s="3"/>
      <c r="K56" s="53"/>
      <c r="L56" s="9"/>
      <c r="M56" s="10"/>
      <c r="N56" s="10"/>
      <c r="O56" s="9"/>
      <c r="P56" s="11"/>
      <c r="Q56" s="23"/>
      <c r="R56" s="12">
        <f aca="true" t="shared" si="7" ref="R56:R64">IF($P58="Store Lost",1,"")</f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18" ht="12.75">
      <c r="A57" s="28"/>
      <c r="B57" s="14"/>
      <c r="C57" s="14"/>
      <c r="D57" s="15"/>
      <c r="E57" s="16"/>
      <c r="F57" s="29"/>
      <c r="G57" s="18"/>
      <c r="K57" s="53"/>
      <c r="Q57" s="23"/>
      <c r="R57" s="12">
        <f t="shared" si="7"/>
      </c>
    </row>
    <row r="58" spans="1:18" ht="12.75">
      <c r="A58" s="28"/>
      <c r="B58" s="14"/>
      <c r="C58" s="14"/>
      <c r="D58" s="15"/>
      <c r="E58" s="16"/>
      <c r="F58" s="29"/>
      <c r="G58" s="18"/>
      <c r="K58" s="53"/>
      <c r="Q58" s="23"/>
      <c r="R58" s="12">
        <f t="shared" si="7"/>
      </c>
    </row>
    <row r="59" spans="1:18" ht="12.75">
      <c r="A59" s="28"/>
      <c r="B59" s="14"/>
      <c r="C59" s="14"/>
      <c r="D59" s="15"/>
      <c r="E59" s="16"/>
      <c r="F59" s="29"/>
      <c r="G59" s="18"/>
      <c r="K59" s="53"/>
      <c r="Q59" s="23"/>
      <c r="R59" s="12">
        <f t="shared" si="7"/>
      </c>
    </row>
    <row r="60" spans="1:18" ht="12.75">
      <c r="A60" s="28"/>
      <c r="B60" s="14"/>
      <c r="C60" s="14"/>
      <c r="D60" s="15"/>
      <c r="E60" s="16"/>
      <c r="F60" s="29"/>
      <c r="G60" s="18"/>
      <c r="K60" s="53"/>
      <c r="Q60" s="23"/>
      <c r="R60" s="12">
        <f t="shared" si="7"/>
      </c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t="shared" si="7"/>
      </c>
    </row>
    <row r="62" spans="1:18" ht="12.75">
      <c r="A62" s="28"/>
      <c r="B62" s="14"/>
      <c r="C62" s="14"/>
      <c r="D62" s="15"/>
      <c r="E62" s="16"/>
      <c r="F62" s="29"/>
      <c r="G62" s="18"/>
      <c r="K62" s="53"/>
      <c r="Q62" s="23"/>
      <c r="R62" s="12">
        <f t="shared" si="7"/>
      </c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7"/>
      </c>
    </row>
    <row r="64" spans="1:18" ht="12.75">
      <c r="A64" s="28"/>
      <c r="B64" s="14"/>
      <c r="C64" s="14"/>
      <c r="D64" s="15"/>
      <c r="E64" s="16"/>
      <c r="F64" s="29"/>
      <c r="G64" s="18"/>
      <c r="K64" s="53"/>
      <c r="Q64" s="23"/>
      <c r="R64" s="12">
        <f t="shared" si="7"/>
      </c>
    </row>
    <row r="65" spans="1:29" s="59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3"/>
      <c r="L65" s="9"/>
      <c r="M65" s="10"/>
      <c r="N65" s="10"/>
      <c r="O65" s="9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30" customFormat="1" ht="12.75">
      <c r="A66" s="28"/>
      <c r="B66" s="14"/>
      <c r="C66" s="14"/>
      <c r="D66" s="15"/>
      <c r="E66" s="16"/>
      <c r="F66" s="29"/>
      <c r="G66" s="18"/>
      <c r="H66" s="7"/>
      <c r="I66" s="7"/>
      <c r="J66" s="3"/>
      <c r="K66" s="53"/>
      <c r="L66" s="9"/>
      <c r="M66" s="10"/>
      <c r="N66" s="10"/>
      <c r="O66" s="9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58"/>
      <c r="AB66" s="58"/>
      <c r="AC66" s="58"/>
    </row>
    <row r="67" spans="1:16" ht="12.75">
      <c r="A67" s="28"/>
      <c r="B67" s="14"/>
      <c r="C67" s="14"/>
      <c r="D67" s="15"/>
      <c r="E67" s="16"/>
      <c r="F67" s="29"/>
      <c r="G67" s="18"/>
      <c r="H67" s="19"/>
      <c r="I67" s="19"/>
      <c r="J67" s="15"/>
      <c r="K67" s="20"/>
      <c r="L67" s="21"/>
      <c r="M67" s="22"/>
      <c r="N67" s="22"/>
      <c r="O67" s="21"/>
      <c r="P67" s="23"/>
    </row>
    <row r="68" spans="1:2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  <c r="U68" s="58"/>
      <c r="V68" s="58"/>
      <c r="W68" s="58"/>
      <c r="X68" s="58"/>
      <c r="Y68" s="58"/>
      <c r="Z68" s="58"/>
    </row>
    <row r="69" spans="1:1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</row>
    <row r="70" spans="1:16" ht="12.75">
      <c r="A70" s="28"/>
      <c r="B70" s="14"/>
      <c r="C70" s="14"/>
      <c r="E70" s="16"/>
      <c r="F70" s="29"/>
      <c r="G70" s="18"/>
      <c r="H70" s="19"/>
      <c r="I70" s="19"/>
      <c r="L70" s="21"/>
      <c r="M70" s="22"/>
      <c r="N70" s="22"/>
      <c r="O70" s="21"/>
      <c r="P70" s="23"/>
    </row>
    <row r="71" spans="1:16" ht="12.75">
      <c r="A71" s="28"/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</row>
    <row r="72" spans="1:20" ht="12.75">
      <c r="A72" s="28"/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  <c r="R72" s="58"/>
      <c r="S72" s="58"/>
      <c r="T72" s="58"/>
    </row>
    <row r="73" spans="2:16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</row>
    <row r="74" spans="2:17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  <c r="Q74" s="12">
        <f aca="true" t="shared" si="8" ref="Q74:Q105">IF($O76="Store Lost",1,"")</f>
      </c>
    </row>
    <row r="75" spans="2:29" ht="12.75">
      <c r="B75" s="14"/>
      <c r="C75" s="14"/>
      <c r="F75" s="29"/>
      <c r="G75" s="18"/>
      <c r="H75" s="19"/>
      <c r="I75" s="19"/>
      <c r="L75" s="21"/>
      <c r="M75" s="22"/>
      <c r="N75" s="22"/>
      <c r="O75" s="21"/>
      <c r="P75" s="23"/>
      <c r="Q75" s="12">
        <f t="shared" si="8"/>
      </c>
      <c r="AA75" s="59"/>
      <c r="AB75" s="59"/>
      <c r="AC75" s="59"/>
    </row>
    <row r="76" spans="2:29" ht="12.75">
      <c r="B76" s="14"/>
      <c r="C76" s="14"/>
      <c r="Q76" s="12">
        <f t="shared" si="8"/>
      </c>
      <c r="AA76" s="30"/>
      <c r="AB76" s="30"/>
      <c r="AC76" s="30"/>
    </row>
    <row r="77" spans="17:26" ht="12.75">
      <c r="Q77" s="12">
        <f t="shared" si="8"/>
      </c>
      <c r="U77" s="59"/>
      <c r="V77" s="59"/>
      <c r="W77" s="59"/>
      <c r="X77" s="59"/>
      <c r="Y77" s="59"/>
      <c r="Z77" s="59"/>
    </row>
    <row r="78" spans="17:26" ht="12.75">
      <c r="Q78" s="12">
        <f t="shared" si="8"/>
      </c>
      <c r="U78" s="30"/>
      <c r="V78" s="30"/>
      <c r="W78" s="30"/>
      <c r="X78" s="30"/>
      <c r="Y78" s="30"/>
      <c r="Z78" s="30"/>
    </row>
    <row r="79" spans="1:29" s="58" customFormat="1" ht="12.75">
      <c r="A79" s="1"/>
      <c r="B79" s="2"/>
      <c r="C79" s="2"/>
      <c r="D79" s="3"/>
      <c r="E79" s="4"/>
      <c r="F79" s="5"/>
      <c r="G79" s="6"/>
      <c r="H79" s="7"/>
      <c r="I79" s="7"/>
      <c r="J79" s="3"/>
      <c r="K79" s="8"/>
      <c r="L79" s="9"/>
      <c r="M79" s="10"/>
      <c r="N79" s="10"/>
      <c r="O79" s="9"/>
      <c r="P79" s="11"/>
      <c r="Q79" s="12">
        <f t="shared" si="8"/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ht="12.75">
      <c r="Q80" s="12">
        <f t="shared" si="8"/>
      </c>
    </row>
    <row r="81" spans="17:20" ht="12.75">
      <c r="Q81" s="12">
        <f t="shared" si="8"/>
      </c>
      <c r="R81" s="59"/>
      <c r="S81" s="59"/>
      <c r="T81" s="59"/>
    </row>
    <row r="82" spans="17:20" ht="12.75">
      <c r="Q82" s="12">
        <f t="shared" si="8"/>
      </c>
      <c r="R82" s="30"/>
      <c r="S82" s="30"/>
      <c r="T82" s="30"/>
    </row>
    <row r="83" ht="12.75">
      <c r="Q83" s="12">
        <f t="shared" si="8"/>
      </c>
    </row>
    <row r="84" ht="12.75">
      <c r="Q84" s="12">
        <f t="shared" si="8"/>
      </c>
    </row>
    <row r="85" ht="12.75">
      <c r="Q85" s="12">
        <f t="shared" si="8"/>
      </c>
    </row>
    <row r="86" ht="12.75">
      <c r="Q86" s="12">
        <f t="shared" si="8"/>
      </c>
    </row>
    <row r="87" ht="12.75">
      <c r="Q87" s="12">
        <f t="shared" si="8"/>
      </c>
    </row>
    <row r="88" ht="12.75">
      <c r="Q88" s="12">
        <f t="shared" si="8"/>
      </c>
    </row>
    <row r="89" spans="17:29" ht="12.75">
      <c r="Q89" s="12">
        <f t="shared" si="8"/>
      </c>
      <c r="AA89" s="58"/>
      <c r="AB89" s="58"/>
      <c r="AC89" s="58"/>
    </row>
    <row r="90" ht="12.75">
      <c r="Q90" s="12">
        <f t="shared" si="8"/>
      </c>
    </row>
    <row r="91" spans="17:26" ht="12.75">
      <c r="Q91" s="12">
        <f t="shared" si="8"/>
      </c>
      <c r="U91" s="58"/>
      <c r="V91" s="58"/>
      <c r="W91" s="58"/>
      <c r="X91" s="58"/>
      <c r="Y91" s="58"/>
      <c r="Z91" s="58"/>
    </row>
    <row r="92" spans="1:29" s="58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8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30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8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s="58" customFormat="1" ht="12.75">
      <c r="A94" s="1"/>
      <c r="B94" s="2"/>
      <c r="C94" s="2"/>
      <c r="D94" s="3"/>
      <c r="E94" s="4"/>
      <c r="F94" s="5"/>
      <c r="G94" s="6"/>
      <c r="H94" s="7"/>
      <c r="I94" s="7"/>
      <c r="J94" s="3"/>
      <c r="K94" s="8"/>
      <c r="L94" s="9"/>
      <c r="M94" s="10"/>
      <c r="N94" s="10"/>
      <c r="O94" s="9"/>
      <c r="P94" s="11"/>
      <c r="Q94" s="12">
        <f t="shared" si="8"/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7:20" ht="12.75">
      <c r="Q95" s="12">
        <f t="shared" si="8"/>
      </c>
      <c r="R95" s="58"/>
      <c r="S95" s="58"/>
      <c r="T95" s="58"/>
    </row>
    <row r="96" ht="12.75">
      <c r="Q96" s="12">
        <f t="shared" si="8"/>
      </c>
    </row>
    <row r="97" ht="12.75">
      <c r="Q97" s="12">
        <f t="shared" si="8"/>
      </c>
    </row>
    <row r="98" ht="12.75">
      <c r="Q98" s="12">
        <f t="shared" si="8"/>
      </c>
    </row>
    <row r="99" ht="12.75">
      <c r="Q99" s="12">
        <f t="shared" si="8"/>
      </c>
    </row>
    <row r="100" ht="12.75">
      <c r="Q100" s="12">
        <f t="shared" si="8"/>
      </c>
    </row>
    <row r="101" ht="12.75">
      <c r="Q101" s="12">
        <f t="shared" si="8"/>
      </c>
    </row>
    <row r="102" spans="17:29" ht="12.75">
      <c r="Q102" s="12">
        <f t="shared" si="8"/>
      </c>
      <c r="AA102" s="58"/>
      <c r="AB102" s="58"/>
      <c r="AC102" s="58"/>
    </row>
    <row r="103" spans="17:29" ht="12.75">
      <c r="Q103" s="12">
        <f t="shared" si="8"/>
      </c>
      <c r="AA103" s="30"/>
      <c r="AB103" s="30"/>
      <c r="AC103" s="30"/>
    </row>
    <row r="104" spans="17:29" ht="12.75">
      <c r="Q104" s="12">
        <f t="shared" si="8"/>
      </c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7:26" ht="12.75">
      <c r="Q105" s="12">
        <f t="shared" si="8"/>
      </c>
      <c r="U105" s="30"/>
      <c r="V105" s="30"/>
      <c r="W105" s="30"/>
      <c r="X105" s="30"/>
      <c r="Y105" s="30"/>
      <c r="Z105" s="30"/>
    </row>
    <row r="106" spans="17:26" ht="12.75">
      <c r="Q106" s="12">
        <f aca="true" t="shared" si="9" ref="Q106:Q131">IF($O108="Store Lost",1,"")</f>
      </c>
      <c r="U106" s="58"/>
      <c r="V106" s="58"/>
      <c r="W106" s="58"/>
      <c r="X106" s="58"/>
      <c r="Y106" s="58"/>
      <c r="Z106" s="58"/>
    </row>
    <row r="107" ht="12.75">
      <c r="Q107" s="12">
        <f t="shared" si="9"/>
      </c>
    </row>
    <row r="108" spans="17:20" ht="12.75">
      <c r="Q108" s="12">
        <f t="shared" si="9"/>
      </c>
      <c r="R108" s="58"/>
      <c r="S108" s="58"/>
      <c r="T108" s="58"/>
    </row>
    <row r="109" spans="17:20" ht="12.75">
      <c r="Q109" s="12">
        <f t="shared" si="9"/>
      </c>
      <c r="R109" s="30"/>
      <c r="S109" s="30"/>
      <c r="T109" s="30"/>
    </row>
    <row r="110" spans="17:20" ht="12.75">
      <c r="Q110" s="12">
        <f t="shared" si="9"/>
      </c>
      <c r="R110" s="58"/>
      <c r="S110" s="58"/>
      <c r="T110" s="58"/>
    </row>
    <row r="111" ht="12.75">
      <c r="Q111" s="12">
        <f t="shared" si="9"/>
      </c>
    </row>
    <row r="112" ht="12.75">
      <c r="Q112" s="12">
        <f t="shared" si="9"/>
      </c>
    </row>
    <row r="113" ht="12.75">
      <c r="Q113" s="12">
        <f t="shared" si="9"/>
      </c>
    </row>
    <row r="114" ht="12.75">
      <c r="Q114" s="12">
        <f t="shared" si="9"/>
      </c>
    </row>
    <row r="115" spans="1:29" s="58" customFormat="1" ht="12.75">
      <c r="A115" s="1"/>
      <c r="B115" s="2"/>
      <c r="C115" s="2"/>
      <c r="D115" s="3"/>
      <c r="E115" s="4"/>
      <c r="F115" s="5"/>
      <c r="G115" s="6"/>
      <c r="H115" s="7"/>
      <c r="I115" s="7"/>
      <c r="J115" s="3"/>
      <c r="K115" s="8"/>
      <c r="L115" s="9"/>
      <c r="M115" s="10"/>
      <c r="N115" s="10"/>
      <c r="O115" s="9"/>
      <c r="P115" s="11"/>
      <c r="Q115" s="12">
        <f t="shared" si="9"/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ht="12.75">
      <c r="Q116" s="12">
        <f t="shared" si="9"/>
      </c>
    </row>
    <row r="117" ht="12.75">
      <c r="Q117" s="12">
        <f t="shared" si="9"/>
      </c>
    </row>
    <row r="118" ht="12.75">
      <c r="Q118" s="12">
        <f t="shared" si="9"/>
      </c>
    </row>
    <row r="119" ht="12.75">
      <c r="Q119" s="12">
        <f t="shared" si="9"/>
      </c>
    </row>
    <row r="120" ht="12.75">
      <c r="Q120" s="12">
        <f t="shared" si="9"/>
      </c>
    </row>
    <row r="121" ht="12.75">
      <c r="Q121" s="12">
        <f t="shared" si="9"/>
      </c>
    </row>
    <row r="122" ht="12.75">
      <c r="Q122" s="12">
        <f t="shared" si="9"/>
      </c>
    </row>
    <row r="123" ht="12.75">
      <c r="Q123" s="12">
        <f t="shared" si="9"/>
      </c>
    </row>
    <row r="124" ht="12.75">
      <c r="Q124" s="12">
        <f t="shared" si="9"/>
      </c>
    </row>
    <row r="125" spans="17:29" ht="12.75">
      <c r="Q125" s="12">
        <f t="shared" si="9"/>
      </c>
      <c r="AA125" s="58"/>
      <c r="AB125" s="58"/>
      <c r="AC125" s="58"/>
    </row>
    <row r="126" ht="12.75">
      <c r="Q126" s="12">
        <f t="shared" si="9"/>
      </c>
    </row>
    <row r="127" spans="17:26" ht="12.75">
      <c r="Q127" s="12">
        <f t="shared" si="9"/>
      </c>
      <c r="U127" s="58"/>
      <c r="V127" s="58"/>
      <c r="W127" s="58"/>
      <c r="X127" s="58"/>
      <c r="Y127" s="58"/>
      <c r="Z127" s="58"/>
    </row>
    <row r="128" ht="12.75">
      <c r="Q128" s="12">
        <f t="shared" si="9"/>
      </c>
    </row>
    <row r="129" ht="12.75">
      <c r="Q129" s="12">
        <f t="shared" si="9"/>
      </c>
    </row>
    <row r="130" ht="12.75">
      <c r="Q130" s="12">
        <f t="shared" si="9"/>
      </c>
    </row>
    <row r="131" spans="17:20" ht="12.75">
      <c r="Q131" s="12">
        <f t="shared" si="9"/>
      </c>
      <c r="R131" s="58"/>
      <c r="S131" s="58"/>
      <c r="T131" s="58"/>
    </row>
    <row r="135" ht="12.75">
      <c r="Q135" s="12">
        <f>COUNT(Q6:Q131)</f>
        <v>13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3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21.28125" style="0" customWidth="1"/>
    <col min="2" max="9" width="13.8515625" style="0" customWidth="1"/>
    <col min="10" max="10" width="11.57421875" style="0" customWidth="1"/>
    <col min="11" max="12" width="10.2812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0" ht="12.75">
      <c r="A3" s="82"/>
      <c r="B3" s="90" t="s">
        <v>14</v>
      </c>
      <c r="C3" s="89"/>
      <c r="D3" s="89"/>
      <c r="E3" s="89"/>
      <c r="F3" s="89"/>
      <c r="G3" s="89"/>
      <c r="H3" s="89"/>
      <c r="I3" s="89"/>
      <c r="J3" s="91"/>
    </row>
    <row r="4" spans="1:10" ht="12.75">
      <c r="A4" s="90" t="s">
        <v>39</v>
      </c>
      <c r="B4" s="82" t="s">
        <v>22</v>
      </c>
      <c r="C4" s="92" t="s">
        <v>23</v>
      </c>
      <c r="D4" s="92" t="s">
        <v>70</v>
      </c>
      <c r="E4" s="92" t="s">
        <v>77</v>
      </c>
      <c r="F4" s="92" t="s">
        <v>24</v>
      </c>
      <c r="G4" s="92" t="s">
        <v>78</v>
      </c>
      <c r="H4" s="92" t="s">
        <v>85</v>
      </c>
      <c r="I4" s="92" t="s">
        <v>68</v>
      </c>
      <c r="J4" s="93" t="s">
        <v>59</v>
      </c>
    </row>
    <row r="5" spans="1:10" ht="12.75">
      <c r="A5" s="82" t="s">
        <v>40</v>
      </c>
      <c r="B5" s="94">
        <v>0</v>
      </c>
      <c r="C5" s="95">
        <v>0</v>
      </c>
      <c r="D5" s="95">
        <v>0</v>
      </c>
      <c r="E5" s="95">
        <v>1</v>
      </c>
      <c r="F5" s="95">
        <v>0</v>
      </c>
      <c r="G5" s="95">
        <v>0</v>
      </c>
      <c r="H5" s="95">
        <v>1</v>
      </c>
      <c r="I5" s="95">
        <v>0</v>
      </c>
      <c r="J5" s="96">
        <v>2</v>
      </c>
    </row>
    <row r="6" spans="1:10" ht="12.75">
      <c r="A6" s="98" t="s">
        <v>41</v>
      </c>
      <c r="B6" s="99">
        <v>3</v>
      </c>
      <c r="C6" s="73">
        <v>3</v>
      </c>
      <c r="D6" s="73">
        <v>1</v>
      </c>
      <c r="E6" s="73">
        <v>1</v>
      </c>
      <c r="F6" s="73">
        <v>1</v>
      </c>
      <c r="G6" s="73">
        <v>1</v>
      </c>
      <c r="H6" s="73">
        <v>0</v>
      </c>
      <c r="I6" s="73">
        <v>1</v>
      </c>
      <c r="J6" s="100">
        <v>11</v>
      </c>
    </row>
    <row r="7" spans="1:10" ht="12.75">
      <c r="A7" s="105" t="s">
        <v>65</v>
      </c>
      <c r="B7" s="194">
        <v>8.600000000093132</v>
      </c>
      <c r="C7" s="195">
        <v>2.2833333332673647</v>
      </c>
      <c r="D7" s="129">
        <v>0.4333333331742324</v>
      </c>
      <c r="E7" s="129">
        <v>2.150000000023283</v>
      </c>
      <c r="F7" s="129">
        <v>0.4999999998835847</v>
      </c>
      <c r="G7" s="129">
        <v>0.8166666667093523</v>
      </c>
      <c r="H7" s="129">
        <v>1.5499999999883585</v>
      </c>
      <c r="I7" s="129">
        <v>5.983333333279006</v>
      </c>
      <c r="J7" s="106">
        <v>22.316666666418314</v>
      </c>
    </row>
    <row r="13" spans="2:20" ht="12.75">
      <c r="B13" s="60" t="s">
        <v>23</v>
      </c>
      <c r="C13" s="61" t="s">
        <v>44</v>
      </c>
      <c r="D13" s="61" t="s">
        <v>22</v>
      </c>
      <c r="E13" s="61" t="s">
        <v>45</v>
      </c>
      <c r="F13" s="61" t="s">
        <v>46</v>
      </c>
      <c r="G13" s="61" t="s">
        <v>47</v>
      </c>
      <c r="H13" s="61" t="s">
        <v>48</v>
      </c>
      <c r="I13" s="61" t="s">
        <v>49</v>
      </c>
      <c r="J13" s="61" t="s">
        <v>50</v>
      </c>
      <c r="K13" s="61" t="s">
        <v>51</v>
      </c>
      <c r="L13" s="61" t="s">
        <v>52</v>
      </c>
      <c r="M13" s="61" t="s">
        <v>53</v>
      </c>
      <c r="N13" s="61" t="s">
        <v>54</v>
      </c>
      <c r="O13" s="61" t="s">
        <v>55</v>
      </c>
      <c r="P13" s="61" t="s">
        <v>56</v>
      </c>
      <c r="Q13" s="62" t="s">
        <v>57</v>
      </c>
      <c r="R13" s="63" t="s">
        <v>58</v>
      </c>
      <c r="S13" s="63" t="s">
        <v>59</v>
      </c>
      <c r="T13" s="64" t="s">
        <v>60</v>
      </c>
    </row>
    <row r="14" spans="1:20" s="68" customFormat="1" ht="12.75">
      <c r="A14" s="144" t="s">
        <v>82</v>
      </c>
      <c r="B14" s="66">
        <f>IF(B16,SUM(B16/B25),"")</f>
        <v>0.0013599364700818133</v>
      </c>
      <c r="C14" s="66">
        <f>IF(C16,SUM(C16/B25),"")</f>
        <v>0.0012805241215147606</v>
      </c>
      <c r="D14" s="66">
        <f>IF(D16,SUM(D16/B25),"")</f>
        <v>0.0051220964860590424</v>
      </c>
      <c r="E14" s="66">
        <f>IF(E16,SUM(E16/B25),"")</f>
      </c>
      <c r="F14" s="66">
        <f>IF(F16,SUM(F16/B25),"")</f>
      </c>
      <c r="G14" s="66">
        <f>IF(G16,SUM(G16/B25),0)</f>
        <v>0</v>
      </c>
      <c r="H14" s="66">
        <f>IF(H16,SUM(H16/B25),"")</f>
        <v>0.0009231685527030127</v>
      </c>
      <c r="I14" s="66">
        <f>IF(I16,SUM(I16/B25),"")</f>
        <v>0.00029779630725645305</v>
      </c>
      <c r="J14" s="66">
        <f>IF(J16,SUM(J16/B25),"")</f>
      </c>
      <c r="K14" s="66">
        <f>IF(K16,SUM(K16/B25),"")</f>
      </c>
      <c r="L14" s="66">
        <f>IF(L16,SUM(L16/B25),"")</f>
      </c>
      <c r="M14" s="66">
        <f>IF(M16,SUM(M16/B25),"")</f>
      </c>
      <c r="N14" s="66">
        <f>IF(N16,SUM(N16/B25),"")</f>
      </c>
      <c r="O14" s="66">
        <f>IF(O16,SUM(O16/B25),"")</f>
        <v>0.0035636291442995866</v>
      </c>
      <c r="P14" s="66">
        <f>IF(P16,SUM(P16/B25),"")</f>
        <v>0.0004864006353242122</v>
      </c>
      <c r="Q14" s="66">
        <f>IF(Q16,SUM(Q16/B25),"")</f>
      </c>
      <c r="R14" s="66">
        <f>IF(R16,SUM(R16/B25),"")</f>
        <v>0.0002580901329209246</v>
      </c>
      <c r="S14" s="66">
        <f>IF(S16,SUM(S16/B25),"")</f>
        <v>0.013291641850159805</v>
      </c>
      <c r="T14" s="67">
        <f>IF(T16,SUM(T16/M13),"")</f>
      </c>
    </row>
    <row r="15" spans="1:20" ht="12.75">
      <c r="A15" s="65" t="s">
        <v>61</v>
      </c>
      <c r="B15" s="69">
        <f>'[1]reliabilitySummary'!$B$7</f>
        <v>0.0054</v>
      </c>
      <c r="C15" s="69">
        <f>'[1]reliabilitySummary'!$B$8</f>
        <v>0.0012000000000000001</v>
      </c>
      <c r="D15" s="69">
        <f>'[1]reliabilitySummary'!$B$9</f>
        <v>0.0054</v>
      </c>
      <c r="E15" s="69">
        <f>'[1]reliabilitySummary'!$B$10</f>
        <v>0.003</v>
      </c>
      <c r="F15" s="69">
        <v>0.0028</v>
      </c>
      <c r="G15" s="69">
        <v>0.0028</v>
      </c>
      <c r="H15" s="69">
        <v>0.0028</v>
      </c>
      <c r="I15" s="69">
        <f>'[1]reliabilitySummary'!$B$16</f>
        <v>0.0036000000000000003</v>
      </c>
      <c r="J15" s="69">
        <f>'[1]reliabilitySummary'!$B$18</f>
        <v>0.0012000000000000001</v>
      </c>
      <c r="K15" s="69">
        <f>'[1]reliabilitySummary'!$B$19</f>
        <v>0</v>
      </c>
      <c r="L15" s="69">
        <f>'[1]reliabilitySummary'!$B$20</f>
        <v>0.0006000000000000001</v>
      </c>
      <c r="M15" s="69">
        <f>'[1]reliabilitySummary'!$B$24</f>
        <v>0.0006000000000000001</v>
      </c>
      <c r="N15" s="69">
        <f>'[1]reliabilitySummary'!$B$25</f>
        <v>0.0018000000000000002</v>
      </c>
      <c r="O15" s="69">
        <f>'[1]reliabilitySummary'!$B$26</f>
        <v>0.0006000000000000001</v>
      </c>
      <c r="P15" s="69">
        <f>'[1]reliabilitySummary'!$B$27</f>
        <v>0.0018000000000000002</v>
      </c>
      <c r="Q15" s="69">
        <f>'[1]reliabilitySummary'!$B$11</f>
        <v>0.0012000000000000001</v>
      </c>
      <c r="R15" s="69">
        <f>'[1]reliabilitySummary'!$B$28</f>
        <v>0.0006000000000000001</v>
      </c>
      <c r="S15" s="69">
        <v>0.03</v>
      </c>
      <c r="T15" s="70"/>
    </row>
    <row r="16" spans="1:20" s="68" customFormat="1" ht="12.75">
      <c r="A16" s="65" t="s">
        <v>62</v>
      </c>
      <c r="B16" s="67">
        <f>GETPIVOTDATA("Sum of System
Length",$A$3,"Group","Rf")</f>
        <v>2.2833333332673647</v>
      </c>
      <c r="C16" s="67">
        <f>GETPIVOTDATA("Sum of System
Length",$A$3,"Group","DIA")</f>
        <v>2.150000000023283</v>
      </c>
      <c r="D16" s="67">
        <f>GETPIVOTDATA("Sum of System
Length",$A$3,"Group","PS")</f>
        <v>8.600000000093132</v>
      </c>
      <c r="E16" s="67"/>
      <c r="F16" s="67"/>
      <c r="G16" s="67"/>
      <c r="H16" s="67">
        <f>GETPIVOTDATA("Sum of System
Length",$A$3,"Group","HP")</f>
        <v>1.5499999999883585</v>
      </c>
      <c r="I16" s="67">
        <f>GETPIVOTDATA("Sum of System
Length",$A$3,"Group","MOM")</f>
        <v>0.4999999998835847</v>
      </c>
      <c r="J16" s="67"/>
      <c r="K16" s="67"/>
      <c r="L16" s="67"/>
      <c r="M16" s="67"/>
      <c r="N16" s="67"/>
      <c r="O16" s="67">
        <f>GETPIVOTDATA("Sum of System
Length",$A$3,"Group","FMS")</f>
        <v>5.983333333279006</v>
      </c>
      <c r="P16" s="67">
        <f>GETPIVOTDATA("Sum of System
Length",$A$3,"Group","BL")</f>
        <v>0.8166666667093523</v>
      </c>
      <c r="Q16" s="67"/>
      <c r="R16" s="67">
        <f>GETPIVOTDATA("Sum of System
Length",$A$3,"Group","UNK")</f>
        <v>0.4333333331742324</v>
      </c>
      <c r="S16" s="71">
        <f>'Main Data'!J46</f>
        <v>22.316666666418314</v>
      </c>
      <c r="T16" s="72"/>
    </row>
    <row r="17" spans="1:19" ht="12.75">
      <c r="A17" s="74" t="s">
        <v>63</v>
      </c>
      <c r="B17">
        <f>GETPIVOTDATA("Sum - Store Lost",$A$3,"Group","Rf")</f>
        <v>3</v>
      </c>
      <c r="C17">
        <f>GETPIVOTDATA("Sum - Store Lost",$A$3,"Group","DIA")</f>
        <v>1</v>
      </c>
      <c r="D17">
        <f>GETPIVOTDATA("Sum - Store Lost",$A$3,"Group","PS")</f>
        <v>3</v>
      </c>
      <c r="H17">
        <f>GETPIVOTDATA("Sum - Store Lost",$A$3,"Group","HP")</f>
        <v>0</v>
      </c>
      <c r="I17">
        <f>GETPIVOTDATA("Sum - Store Lost",$A$3,"Group","MOM")</f>
        <v>1</v>
      </c>
      <c r="O17">
        <f>GETPIVOTDATA("Sum - Store Lost",$A$3,"Group","FMS")</f>
        <v>1</v>
      </c>
      <c r="P17">
        <f>GETPIVOTDATA("Sum - Store Lost",$A$3,"Group","BL")</f>
        <v>1</v>
      </c>
      <c r="R17">
        <f>GETPIVOTDATA("Sum - Store Lost",$A$3,"Group","UNK")</f>
        <v>1</v>
      </c>
      <c r="S17" s="71">
        <f>SUM(B17:R17)</f>
        <v>11</v>
      </c>
    </row>
    <row r="18" spans="1:19" ht="12.75">
      <c r="A18" s="74"/>
      <c r="B18" s="73"/>
      <c r="C18" s="73"/>
      <c r="D18" s="73"/>
      <c r="E18" s="73"/>
      <c r="G18" s="73"/>
      <c r="H18" s="73"/>
      <c r="I18" s="73"/>
      <c r="M18" s="73"/>
      <c r="O18" s="73"/>
      <c r="S18" s="71"/>
    </row>
    <row r="19" spans="1:19" ht="13.5" thickBot="1">
      <c r="A19" s="74"/>
      <c r="B19" s="73"/>
      <c r="C19" s="73"/>
      <c r="D19" s="73"/>
      <c r="E19" s="73"/>
      <c r="G19" s="73"/>
      <c r="H19" s="73"/>
      <c r="I19" s="73"/>
      <c r="M19" s="73"/>
      <c r="O19" s="73"/>
      <c r="S19" s="71"/>
    </row>
    <row r="20" spans="2:19" ht="12.75">
      <c r="B20" s="60" t="s">
        <v>23</v>
      </c>
      <c r="C20" s="61" t="s">
        <v>44</v>
      </c>
      <c r="D20" s="61" t="s">
        <v>22</v>
      </c>
      <c r="E20" s="61" t="s">
        <v>45</v>
      </c>
      <c r="F20" s="61" t="s">
        <v>46</v>
      </c>
      <c r="G20" s="61" t="s">
        <v>47</v>
      </c>
      <c r="H20" s="61" t="s">
        <v>48</v>
      </c>
      <c r="I20" s="61" t="s">
        <v>24</v>
      </c>
      <c r="J20" s="61" t="s">
        <v>50</v>
      </c>
      <c r="K20" s="61" t="s">
        <v>51</v>
      </c>
      <c r="L20" s="61" t="s">
        <v>52</v>
      </c>
      <c r="M20" s="61" t="s">
        <v>53</v>
      </c>
      <c r="N20" s="61" t="s">
        <v>54</v>
      </c>
      <c r="O20" s="61" t="s">
        <v>55</v>
      </c>
      <c r="P20" s="61" t="s">
        <v>56</v>
      </c>
      <c r="Q20" s="62" t="s">
        <v>57</v>
      </c>
      <c r="R20" s="63" t="s">
        <v>58</v>
      </c>
      <c r="S20" s="71"/>
    </row>
    <row r="21" spans="1:19" ht="12.75">
      <c r="A21" s="144" t="s">
        <v>82</v>
      </c>
      <c r="B21" s="75">
        <f aca="true" t="shared" si="0" ref="B21:H21">B17/($B24/24)</f>
        <v>0.04346032736088523</v>
      </c>
      <c r="C21" s="107">
        <f t="shared" si="0"/>
        <v>0.014486775786961743</v>
      </c>
      <c r="D21" s="76">
        <f t="shared" si="0"/>
        <v>0.04346032736088523</v>
      </c>
      <c r="E21" s="76">
        <f t="shared" si="0"/>
        <v>0</v>
      </c>
      <c r="F21" s="75">
        <f t="shared" si="0"/>
        <v>0</v>
      </c>
      <c r="G21" s="75">
        <f t="shared" si="0"/>
        <v>0</v>
      </c>
      <c r="H21" s="75">
        <f t="shared" si="0"/>
        <v>0</v>
      </c>
      <c r="I21" s="75"/>
      <c r="J21" s="76">
        <f>J17/($B24/24)</f>
        <v>0</v>
      </c>
      <c r="K21" s="76">
        <f>K17/($B24/24)</f>
        <v>0</v>
      </c>
      <c r="L21" s="75">
        <f>L17/($B24/24)</f>
        <v>0</v>
      </c>
      <c r="M21" s="76"/>
      <c r="N21" s="75">
        <f aca="true" t="shared" si="1" ref="N21:S21">N17/($B24/24)</f>
        <v>0</v>
      </c>
      <c r="O21" s="75">
        <f t="shared" si="1"/>
        <v>0.014486775786961743</v>
      </c>
      <c r="P21" s="76">
        <f t="shared" si="1"/>
        <v>0.014486775786961743</v>
      </c>
      <c r="Q21" s="75">
        <f t="shared" si="1"/>
        <v>0</v>
      </c>
      <c r="R21" s="75">
        <f t="shared" si="1"/>
        <v>0.014486775786961743</v>
      </c>
      <c r="S21" s="75">
        <f t="shared" si="1"/>
        <v>0.15935453365657917</v>
      </c>
    </row>
    <row r="22" spans="1:20" ht="12.75">
      <c r="A22" s="77" t="s">
        <v>61</v>
      </c>
      <c r="B22" s="78">
        <f>'[1]reliabilitySummary'!$F$7</f>
        <v>0.12</v>
      </c>
      <c r="C22" s="78">
        <f>'[1]reliabilitySummary'!$F$8</f>
        <v>0.03</v>
      </c>
      <c r="D22" s="78">
        <v>0.12</v>
      </c>
      <c r="E22" s="78">
        <v>0.05</v>
      </c>
      <c r="F22" s="78">
        <v>0.035</v>
      </c>
      <c r="G22" s="78">
        <v>0.035</v>
      </c>
      <c r="H22" s="78">
        <v>0.035</v>
      </c>
      <c r="I22" s="78">
        <v>0.06</v>
      </c>
      <c r="J22" s="78">
        <v>0.02</v>
      </c>
      <c r="K22" s="79">
        <v>0</v>
      </c>
      <c r="L22" s="79">
        <v>0.01</v>
      </c>
      <c r="M22" s="79">
        <v>0.01</v>
      </c>
      <c r="N22" s="79">
        <v>0.01</v>
      </c>
      <c r="O22" s="79">
        <v>0.01</v>
      </c>
      <c r="P22" s="79">
        <v>0.02</v>
      </c>
      <c r="Q22" s="79">
        <v>0.01</v>
      </c>
      <c r="R22" s="79">
        <v>0.02</v>
      </c>
      <c r="S22" s="79">
        <f>SUM(B22:R22)</f>
        <v>0.5950000000000001</v>
      </c>
      <c r="T22" s="80"/>
    </row>
    <row r="24" spans="1:2" ht="12.75">
      <c r="A24" s="37" t="s">
        <v>31</v>
      </c>
      <c r="B24" s="68">
        <f>'Main Data'!D48</f>
        <v>1656.6833333335817</v>
      </c>
    </row>
    <row r="25" spans="1:2" ht="12.75">
      <c r="A25" s="81" t="s">
        <v>35</v>
      </c>
      <c r="B25" s="79">
        <f>'Main Data'!D50</f>
        <v>1679</v>
      </c>
    </row>
    <row r="29" ht="12.75">
      <c r="A29" s="82"/>
    </row>
    <row r="35" ht="12.75">
      <c r="A35" s="83" t="s">
        <v>64</v>
      </c>
    </row>
    <row r="36" spans="1:9" ht="12.75">
      <c r="A36" s="82"/>
      <c r="B36" s="89"/>
      <c r="C36" s="90" t="s">
        <v>12</v>
      </c>
      <c r="D36" s="89"/>
      <c r="E36" s="89"/>
      <c r="F36" s="89"/>
      <c r="G36" s="89"/>
      <c r="H36" s="89"/>
      <c r="I36" s="91"/>
    </row>
    <row r="37" spans="1:9" ht="12.75">
      <c r="A37" s="90" t="s">
        <v>15</v>
      </c>
      <c r="B37" s="90" t="s">
        <v>39</v>
      </c>
      <c r="C37" s="82" t="s">
        <v>22</v>
      </c>
      <c r="D37" s="92" t="s">
        <v>23</v>
      </c>
      <c r="E37" s="92" t="s">
        <v>66</v>
      </c>
      <c r="F37" s="92" t="s">
        <v>70</v>
      </c>
      <c r="G37" s="92" t="s">
        <v>68</v>
      </c>
      <c r="H37" s="92" t="s">
        <v>69</v>
      </c>
      <c r="I37" s="93" t="s">
        <v>59</v>
      </c>
    </row>
    <row r="38" spans="1:9" ht="12.75">
      <c r="A38" s="82" t="s">
        <v>17</v>
      </c>
      <c r="B38" s="82" t="s">
        <v>41</v>
      </c>
      <c r="C38" s="94">
        <v>1</v>
      </c>
      <c r="D38" s="95">
        <v>2</v>
      </c>
      <c r="E38" s="95"/>
      <c r="F38" s="95">
        <v>1</v>
      </c>
      <c r="G38" s="95">
        <v>1</v>
      </c>
      <c r="H38" s="95">
        <v>1</v>
      </c>
      <c r="I38" s="96">
        <v>6</v>
      </c>
    </row>
    <row r="39" spans="1:9" ht="12.75">
      <c r="A39" s="97"/>
      <c r="B39" s="98" t="s">
        <v>40</v>
      </c>
      <c r="C39" s="99">
        <v>0</v>
      </c>
      <c r="D39" s="73">
        <v>0</v>
      </c>
      <c r="E39" s="73"/>
      <c r="F39" s="73">
        <v>0</v>
      </c>
      <c r="G39" s="73">
        <v>0</v>
      </c>
      <c r="H39" s="73">
        <v>0</v>
      </c>
      <c r="I39" s="100">
        <v>0</v>
      </c>
    </row>
    <row r="40" spans="1:9" ht="12.75">
      <c r="A40" s="82" t="s">
        <v>67</v>
      </c>
      <c r="B40" s="82" t="s">
        <v>41</v>
      </c>
      <c r="C40" s="94"/>
      <c r="D40" s="95"/>
      <c r="E40" s="95">
        <v>0</v>
      </c>
      <c r="F40" s="95"/>
      <c r="G40" s="95"/>
      <c r="H40" s="95"/>
      <c r="I40" s="96">
        <v>0</v>
      </c>
    </row>
    <row r="41" spans="1:9" ht="12.75">
      <c r="A41" s="97"/>
      <c r="B41" s="98" t="s">
        <v>40</v>
      </c>
      <c r="C41" s="99"/>
      <c r="D41" s="73"/>
      <c r="E41" s="73">
        <v>1</v>
      </c>
      <c r="F41" s="73"/>
      <c r="G41" s="73"/>
      <c r="H41" s="73"/>
      <c r="I41" s="100">
        <v>1</v>
      </c>
    </row>
    <row r="42" spans="1:9" ht="12.75">
      <c r="A42" s="82" t="s">
        <v>43</v>
      </c>
      <c r="B42" s="89"/>
      <c r="C42" s="94">
        <v>1</v>
      </c>
      <c r="D42" s="95">
        <v>2</v>
      </c>
      <c r="E42" s="95">
        <v>0</v>
      </c>
      <c r="F42" s="95">
        <v>1</v>
      </c>
      <c r="G42" s="95">
        <v>1</v>
      </c>
      <c r="H42" s="95">
        <v>1</v>
      </c>
      <c r="I42" s="96">
        <v>6</v>
      </c>
    </row>
    <row r="43" spans="1:9" ht="12.75">
      <c r="A43" s="101" t="s">
        <v>42</v>
      </c>
      <c r="B43" s="102"/>
      <c r="C43" s="103">
        <v>0</v>
      </c>
      <c r="D43" s="145">
        <v>0</v>
      </c>
      <c r="E43" s="145">
        <v>1</v>
      </c>
      <c r="F43" s="145">
        <v>0</v>
      </c>
      <c r="G43" s="145">
        <v>0</v>
      </c>
      <c r="H43" s="145">
        <v>0</v>
      </c>
      <c r="I43" s="104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0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2014-04-25T15:11:25Z</cp:lastPrinted>
  <dcterms:created xsi:type="dcterms:W3CDTF">1998-01-15T00:06:45Z</dcterms:created>
  <dcterms:modified xsi:type="dcterms:W3CDTF">2014-04-25T16:06:51Z</dcterms:modified>
  <cp:category/>
  <cp:version/>
  <cp:contentType/>
  <cp:contentStatus/>
  <cp:revision>5</cp:revision>
</cp:coreProperties>
</file>