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9705" windowHeight="1875" tabRatio="927" activeTab="0"/>
  </bookViews>
  <sheets>
    <sheet name="Main Data" sheetId="1" r:id="rId1"/>
    <sheet name="Stats" sheetId="2" r:id="rId2"/>
    <sheet name="Downtime" sheetId="3" r:id="rId3"/>
    <sheet name="Faults Per Day" sheetId="4" r:id="rId4"/>
  </sheets>
  <externalReferences>
    <externalReference r:id="rId9"/>
  </externalReferences>
  <definedNames>
    <definedName name="DT_Beamline">"$#REF!.$U$34"</definedName>
    <definedName name="DT_Controls">"$#REF!.$J$34"</definedName>
    <definedName name="DT_Diagnostics">"$#REF!.$L$34"</definedName>
    <definedName name="DT_OAG">"$#REF!.$I$34"</definedName>
    <definedName name="DT_Operations">"$#REF!.$K$34"</definedName>
    <definedName name="DT_Other">"$#REF!.$C$34"</definedName>
    <definedName name="DT_Physics">"$#REF!.$M$34"</definedName>
    <definedName name="DT_PS">"$#REF!.$D$34"</definedName>
    <definedName name="DT_RF">"$#REF!.$E$34"</definedName>
    <definedName name="DT_Scheduled">"$#REF!.$F$34"</definedName>
    <definedName name="DT_Vacuum">"$#REF!.$G$34"</definedName>
    <definedName name="DT_Water">"$#REF!.$H$34"</definedName>
    <definedName name="Excel_BuiltIn_Print_Area_11">'Main Data'!$A$2:$P$5</definedName>
    <definedName name="Excel_BuiltIn_Print_Area_1_1">'Main Data'!$A$2:$P$56</definedName>
    <definedName name="Excel_BuiltIn_Print_Area_1_1_1">'Main Data'!$A$2:$P$77</definedName>
    <definedName name="Excel_BuiltIn_Print_Area_1_1_11">'Main Data'!$A$2:$P$78</definedName>
    <definedName name="Excel_BuiltIn_Print_Area_1_1_1_1">'Main Data'!$A$2:$P$64</definedName>
    <definedName name="Excel_BuiltIn_Print_Area_41">'Faults Per Day'!$A$1:$W$67</definedName>
    <definedName name="Faults_Day_of_Delivered_Beam">'Main Data'!$D$106</definedName>
    <definedName name="Mean_Time_Between_Faults">'Main Data'!$D$105</definedName>
    <definedName name="Number_of_Fills">'Main Data'!$D$98</definedName>
    <definedName name="Number_of_Intentional_Dumps">'Main Data'!$D$97</definedName>
    <definedName name="Number_of_Lost_Fills">'Main Data'!$D$96</definedName>
    <definedName name="_xlnm.Print_Area" localSheetId="3">'Faults Per Day'!$A$1:$AC$81</definedName>
    <definedName name="_xlnm.Print_Area" localSheetId="0">'Main Data'!$A$2:$P$64</definedName>
    <definedName name="_xlnm.Print_Titles" localSheetId="0">'Main Data'!$5:$5</definedName>
    <definedName name="Refill_Time">'Main Data'!$D$1</definedName>
    <definedName name="Total_Schedule_Run_Length">'Main Data'!$D$102</definedName>
    <definedName name="Total_System_Downtime">'Main Data'!$K$98</definedName>
    <definedName name="Total_User_Beam">'Main Data'!$D$100</definedName>
    <definedName name="Total_User_Downtime">'Main Data'!$D$101</definedName>
    <definedName name="User_Beam_Days">'Main Data'!$E$100</definedName>
    <definedName name="X_ray_Availability">'Main Data'!$D$107</definedName>
  </definedNames>
  <calcPr fullCalcOnLoad="1"/>
  <pivotCaches>
    <pivotCache cacheId="12" r:id="rId5"/>
    <pivotCache cacheId="17" r:id="rId6"/>
  </pivotCaches>
</workbook>
</file>

<file path=xl/sharedStrings.xml><?xml version="1.0" encoding="utf-8"?>
<sst xmlns="http://schemas.openxmlformats.org/spreadsheetml/2006/main" count="244" uniqueCount="90">
  <si>
    <t>Default Storage Ring Refill Time</t>
  </si>
  <si>
    <t xml:space="preserve">     </t>
  </si>
  <si>
    <t>Refill Timing in Days</t>
  </si>
  <si>
    <t>Fill #</t>
  </si>
  <si>
    <t>Start</t>
  </si>
  <si>
    <t>End</t>
  </si>
  <si>
    <t>Length</t>
  </si>
  <si>
    <t>Loss 
Reason</t>
  </si>
  <si>
    <t>DIN #</t>
  </si>
  <si>
    <t>Audit</t>
  </si>
  <si>
    <t>User 
Length</t>
  </si>
  <si>
    <t>System
Length</t>
  </si>
  <si>
    <t>Cause</t>
  </si>
  <si>
    <t>System</t>
  </si>
  <si>
    <t>Group</t>
  </si>
  <si>
    <t>Type</t>
  </si>
  <si>
    <t>Description</t>
  </si>
  <si>
    <t>Store Lost</t>
  </si>
  <si>
    <t>Intention. Dump</t>
  </si>
  <si>
    <t>Inhibits Beam</t>
  </si>
  <si>
    <t>TOTAL</t>
  </si>
  <si>
    <t>Scheduled</t>
  </si>
  <si>
    <t>PS</t>
  </si>
  <si>
    <t>RF</t>
  </si>
  <si>
    <t>MOM</t>
  </si>
  <si>
    <t>Number of Lost Fills</t>
  </si>
  <si>
    <t>Downtime</t>
  </si>
  <si>
    <t>Number of Intentional Dumps</t>
  </si>
  <si>
    <t>User</t>
  </si>
  <si>
    <t>Number of Fills</t>
  </si>
  <si>
    <t>Inhibits</t>
  </si>
  <si>
    <t>Total User Beam</t>
  </si>
  <si>
    <t>User Beam days</t>
  </si>
  <si>
    <t>Total User Downtime</t>
  </si>
  <si>
    <t>&lt;-- This downtime includes Gaps Open</t>
  </si>
  <si>
    <t>Total Schedule Run Length</t>
  </si>
  <si>
    <t>Mean Time Between Faults</t>
  </si>
  <si>
    <t>Faults/Day of Delivered Beam</t>
  </si>
  <si>
    <t>X-ray Availability</t>
  </si>
  <si>
    <t>Data</t>
  </si>
  <si>
    <t>Sum - Inhibits Beam</t>
  </si>
  <si>
    <t>Sum - Store Lost</t>
  </si>
  <si>
    <t>Total Sum - Inhibits Beam</t>
  </si>
  <si>
    <t>Total Sum - Store Lost</t>
  </si>
  <si>
    <t>Diag</t>
  </si>
  <si>
    <t>Controls</t>
  </si>
  <si>
    <t>Accelerator Intlks</t>
  </si>
  <si>
    <t>Beamline Intlks</t>
  </si>
  <si>
    <t>Radiation Intlks</t>
  </si>
  <si>
    <t>Water/ME</t>
  </si>
  <si>
    <t>Operations</t>
  </si>
  <si>
    <t>Physics</t>
  </si>
  <si>
    <t>ID-FE</t>
  </si>
  <si>
    <t>Electrical-APS</t>
  </si>
  <si>
    <t>Electrical-ANL</t>
  </si>
  <si>
    <t>Cooling-ANL</t>
  </si>
  <si>
    <t>Other</t>
  </si>
  <si>
    <t>Network</t>
  </si>
  <si>
    <t>Unidentified</t>
  </si>
  <si>
    <t>Grand Total</t>
  </si>
  <si>
    <t>Total Hours</t>
  </si>
  <si>
    <t>Budget</t>
  </si>
  <si>
    <t>Hours for Run</t>
  </si>
  <si>
    <t xml:space="preserve">Faults </t>
  </si>
  <si>
    <t>Filter</t>
  </si>
  <si>
    <t>AOP</t>
  </si>
  <si>
    <t>Inhibits Beam to User</t>
  </si>
  <si>
    <t>Int Dump: End of Period</t>
  </si>
  <si>
    <t>Sum of System 
Length</t>
  </si>
  <si>
    <t>VAC</t>
  </si>
  <si>
    <t>ComEd</t>
  </si>
  <si>
    <t>Com Ed power sag [OTH]</t>
  </si>
  <si>
    <t>Downtime for Run 2021-1</t>
  </si>
  <si>
    <t>RF-4 Anode OI [RF]</t>
  </si>
  <si>
    <t>S24C:BM trip [PS]</t>
  </si>
  <si>
    <t>S15A:H1 tripped S:IS1 stopped pulsing</t>
  </si>
  <si>
    <t>S15A:H1 tripped [PS]</t>
  </si>
  <si>
    <t>S35 Waveguide ari trip [RF]</t>
  </si>
  <si>
    <t>RF-4 LLRF trip [RF]</t>
  </si>
  <si>
    <t>S38B:S1 glitched [PS]</t>
  </si>
  <si>
    <t>RF-3 Crowbar trip [Rf]</t>
  </si>
  <si>
    <t>RF-4 T/R N2 trip [RF]</t>
  </si>
  <si>
    <t>S25 EPS/H2O/VAC [MOM]</t>
  </si>
  <si>
    <t>S17 magnet water leak</t>
  </si>
  <si>
    <t>S11 GESPAC failure [PS]</t>
  </si>
  <si>
    <t>8ID PSS trip [SI]</t>
  </si>
  <si>
    <t>SI</t>
  </si>
  <si>
    <t>SRFB Instability [AOP]</t>
  </si>
  <si>
    <t>S36 RF cav vac [RF]</t>
  </si>
  <si>
    <t>Run 2021-1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</si>
</sst>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\ hh:mm"/>
    <numFmt numFmtId="165" formatCode="0.00;[Red]0.00;[Blue]&quot;ZERO!!!&quot;"/>
    <numFmt numFmtId="166" formatCode="mm/dd/yy\ hh:mm\ "/>
    <numFmt numFmtId="167" formatCode="0.0"/>
    <numFmt numFmtId="168" formatCode="&quot; $&quot;#,##0.00\ ;&quot; $(&quot;#,##0.00\);&quot; $-&quot;#\ ;@\ "/>
    <numFmt numFmtId="169" formatCode="0.0%"/>
    <numFmt numFmtId="170" formatCode="0.000000\ ;[Red]\(0.000000\)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/d/yy\ h:mm;@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b/>
      <sz val="13.9"/>
      <color indexed="8"/>
      <name val="Arial"/>
      <family val="0"/>
    </font>
    <font>
      <sz val="23"/>
      <color indexed="8"/>
      <name val="Arial"/>
      <family val="0"/>
    </font>
    <font>
      <sz val="12.25"/>
      <color indexed="8"/>
      <name val="Arial"/>
      <family val="0"/>
    </font>
    <font>
      <sz val="12"/>
      <color indexed="8"/>
      <name val="Arial"/>
      <family val="0"/>
    </font>
    <font>
      <sz val="39.9"/>
      <color indexed="8"/>
      <name val="Arial"/>
      <family val="0"/>
    </font>
    <font>
      <sz val="8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.8"/>
      <color indexed="8"/>
      <name val="Arial"/>
      <family val="0"/>
    </font>
    <font>
      <b/>
      <sz val="17.1"/>
      <color indexed="8"/>
      <name val="Arial"/>
      <family val="0"/>
    </font>
    <font>
      <b/>
      <sz val="39.9"/>
      <color indexed="8"/>
      <name val="Arial"/>
      <family val="0"/>
    </font>
    <font>
      <b/>
      <sz val="44.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 style="thin">
        <color rgb="FF999999"/>
      </bottom>
    </border>
    <border>
      <left>
        <color indexed="63"/>
      </left>
      <right>
        <color indexed="63"/>
      </right>
      <top>
        <color indexed="63"/>
      </top>
      <bottom style="thin">
        <color rgb="FF999999"/>
      </bottom>
    </border>
    <border>
      <left style="thin">
        <color rgb="FF999999"/>
      </left>
      <right style="thin">
        <color rgb="FF999999"/>
      </right>
      <top>
        <color indexed="63"/>
      </top>
      <bottom style="thin">
        <color rgb="FF999999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textRotation="90"/>
    </xf>
    <xf numFmtId="0" fontId="1" fillId="0" borderId="11" xfId="0" applyFont="1" applyFill="1" applyBorder="1" applyAlignment="1">
      <alignment horizontal="center" textRotation="90"/>
    </xf>
    <xf numFmtId="164" fontId="1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 horizontal="left"/>
      <protection/>
    </xf>
    <xf numFmtId="165" fontId="0" fillId="0" borderId="0" xfId="0" applyNumberFormat="1" applyFont="1" applyFill="1" applyAlignment="1">
      <alignment/>
    </xf>
    <xf numFmtId="1" fontId="0" fillId="0" borderId="12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2" fontId="0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right"/>
    </xf>
    <xf numFmtId="17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2" fontId="0" fillId="0" borderId="0" xfId="44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Alignment="1">
      <alignment/>
    </xf>
    <xf numFmtId="17" fontId="2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70" fontId="2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67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69" fontId="0" fillId="0" borderId="0" xfId="65" applyNumberFormat="1" applyFont="1" applyFill="1" applyBorder="1" applyAlignment="1" applyProtection="1">
      <alignment vertical="top" wrapText="1"/>
      <protection locked="0"/>
    </xf>
    <xf numFmtId="2" fontId="0" fillId="0" borderId="0" xfId="65" applyNumberFormat="1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4" fillId="0" borderId="0" xfId="0" applyNumberFormat="1" applyFont="1" applyFill="1" applyAlignment="1">
      <alignment horizontal="right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1" fillId="0" borderId="21" xfId="0" applyNumberFormat="1" applyFont="1" applyFill="1" applyBorder="1" applyAlignment="1">
      <alignment horizontal="center" textRotation="90"/>
    </xf>
    <xf numFmtId="164" fontId="1" fillId="0" borderId="21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 textRotation="90"/>
    </xf>
    <xf numFmtId="0" fontId="1" fillId="0" borderId="21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textRotation="90"/>
    </xf>
    <xf numFmtId="2" fontId="1" fillId="0" borderId="21" xfId="0" applyNumberFormat="1" applyFont="1" applyFill="1" applyBorder="1" applyAlignment="1">
      <alignment horizontal="center" textRotation="90" wrapText="1"/>
    </xf>
    <xf numFmtId="165" fontId="1" fillId="0" borderId="21" xfId="0" applyNumberFormat="1" applyFont="1" applyFill="1" applyBorder="1" applyAlignment="1">
      <alignment horizontal="center" textRotation="90" wrapText="1"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 locked="0"/>
    </xf>
    <xf numFmtId="0" fontId="0" fillId="33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left"/>
    </xf>
    <xf numFmtId="2" fontId="0" fillId="34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NumberFormat="1" applyFont="1" applyFill="1" applyBorder="1" applyAlignment="1">
      <alignment/>
    </xf>
    <xf numFmtId="10" fontId="0" fillId="0" borderId="0" xfId="65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Alignment="1" applyProtection="1">
      <alignment/>
      <protection locked="0"/>
    </xf>
    <xf numFmtId="0" fontId="0" fillId="0" borderId="26" xfId="0" applyNumberFormat="1" applyBorder="1" applyAlignment="1">
      <alignment/>
    </xf>
    <xf numFmtId="0" fontId="0" fillId="37" borderId="27" xfId="0" applyNumberFormat="1" applyFont="1" applyFill="1" applyBorder="1" applyAlignment="1">
      <alignment horizontal="right"/>
    </xf>
    <xf numFmtId="164" fontId="0" fillId="37" borderId="27" xfId="0" applyNumberFormat="1" applyFont="1" applyFill="1" applyBorder="1" applyAlignment="1">
      <alignment/>
    </xf>
    <xf numFmtId="0" fontId="0" fillId="37" borderId="27" xfId="0" applyNumberFormat="1" applyFont="1" applyFill="1" applyBorder="1" applyAlignment="1">
      <alignment horizontal="center"/>
    </xf>
    <xf numFmtId="164" fontId="0" fillId="37" borderId="27" xfId="0" applyNumberFormat="1" applyFont="1" applyFill="1" applyBorder="1" applyAlignment="1">
      <alignment horizontal="center"/>
    </xf>
    <xf numFmtId="0" fontId="0" fillId="37" borderId="27" xfId="0" applyNumberFormat="1" applyFont="1" applyFill="1" applyBorder="1" applyAlignment="1" applyProtection="1">
      <alignment/>
      <protection/>
    </xf>
    <xf numFmtId="0" fontId="0" fillId="37" borderId="27" xfId="0" applyNumberFormat="1" applyFont="1" applyFill="1" applyBorder="1" applyAlignment="1" applyProtection="1">
      <alignment/>
      <protection locked="0"/>
    </xf>
    <xf numFmtId="0" fontId="0" fillId="37" borderId="27" xfId="0" applyNumberFormat="1" applyFont="1" applyFill="1" applyBorder="1" applyAlignment="1" applyProtection="1">
      <alignment horizontal="left"/>
      <protection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NumberFormat="1" applyFont="1" applyFill="1" applyBorder="1" applyAlignment="1">
      <alignment/>
    </xf>
    <xf numFmtId="0" fontId="0" fillId="33" borderId="27" xfId="0" applyNumberFormat="1" applyFont="1" applyFill="1" applyBorder="1" applyAlignment="1">
      <alignment horizontal="right"/>
    </xf>
    <xf numFmtId="164" fontId="0" fillId="33" borderId="27" xfId="0" applyNumberFormat="1" applyFont="1" applyFill="1" applyBorder="1" applyAlignment="1">
      <alignment/>
    </xf>
    <xf numFmtId="2" fontId="0" fillId="35" borderId="27" xfId="0" applyNumberFormat="1" applyFont="1" applyFill="1" applyBorder="1" applyAlignment="1">
      <alignment horizontal="right"/>
    </xf>
    <xf numFmtId="0" fontId="0" fillId="33" borderId="27" xfId="0" applyNumberFormat="1" applyFont="1" applyFill="1" applyBorder="1" applyAlignment="1">
      <alignment horizontal="center"/>
    </xf>
    <xf numFmtId="164" fontId="0" fillId="33" borderId="27" xfId="0" applyNumberFormat="1" applyFont="1" applyFill="1" applyBorder="1" applyAlignment="1">
      <alignment horizontal="center"/>
    </xf>
    <xf numFmtId="0" fontId="0" fillId="33" borderId="27" xfId="0" applyNumberFormat="1" applyFont="1" applyFill="1" applyBorder="1" applyAlignment="1" applyProtection="1">
      <alignment/>
      <protection/>
    </xf>
    <xf numFmtId="0" fontId="0" fillId="33" borderId="27" xfId="0" applyNumberFormat="1" applyFont="1" applyFill="1" applyBorder="1" applyAlignment="1" applyProtection="1">
      <alignment/>
      <protection locked="0"/>
    </xf>
    <xf numFmtId="0" fontId="0" fillId="33" borderId="27" xfId="0" applyNumberFormat="1" applyFont="1" applyFill="1" applyBorder="1" applyAlignment="1" applyProtection="1">
      <alignment horizontal="left"/>
      <protection/>
    </xf>
    <xf numFmtId="0" fontId="0" fillId="40" borderId="24" xfId="0" applyNumberFormat="1" applyFont="1" applyFill="1" applyBorder="1" applyAlignment="1">
      <alignment horizontal="right"/>
    </xf>
    <xf numFmtId="164" fontId="0" fillId="40" borderId="28" xfId="0" applyNumberFormat="1" applyFont="1" applyFill="1" applyBorder="1" applyAlignment="1">
      <alignment horizontal="left"/>
    </xf>
    <xf numFmtId="2" fontId="0" fillId="41" borderId="24" xfId="0" applyNumberFormat="1" applyFont="1" applyFill="1" applyBorder="1" applyAlignment="1">
      <alignment horizontal="right"/>
    </xf>
    <xf numFmtId="164" fontId="0" fillId="40" borderId="24" xfId="0" applyNumberFormat="1" applyFont="1" applyFill="1" applyBorder="1" applyAlignment="1">
      <alignment/>
    </xf>
    <xf numFmtId="0" fontId="0" fillId="40" borderId="24" xfId="0" applyNumberFormat="1" applyFont="1" applyFill="1" applyBorder="1" applyAlignment="1">
      <alignment horizontal="center"/>
    </xf>
    <xf numFmtId="164" fontId="0" fillId="40" borderId="24" xfId="0" applyNumberFormat="1" applyFont="1" applyFill="1" applyBorder="1" applyAlignment="1">
      <alignment horizontal="center"/>
    </xf>
    <xf numFmtId="164" fontId="0" fillId="40" borderId="24" xfId="0" applyNumberFormat="1" applyFont="1" applyFill="1" applyBorder="1" applyAlignment="1">
      <alignment horizontal="left"/>
    </xf>
    <xf numFmtId="2" fontId="1" fillId="40" borderId="24" xfId="0" applyNumberFormat="1" applyFont="1" applyFill="1" applyBorder="1" applyAlignment="1">
      <alignment horizontal="right"/>
    </xf>
    <xf numFmtId="0" fontId="0" fillId="40" borderId="24" xfId="0" applyNumberFormat="1" applyFont="1" applyFill="1" applyBorder="1" applyAlignment="1" applyProtection="1">
      <alignment/>
      <protection/>
    </xf>
    <xf numFmtId="0" fontId="0" fillId="40" borderId="24" xfId="0" applyNumberFormat="1" applyFont="1" applyFill="1" applyBorder="1" applyAlignment="1" applyProtection="1">
      <alignment/>
      <protection locked="0"/>
    </xf>
    <xf numFmtId="0" fontId="0" fillId="40" borderId="2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>
      <alignment/>
    </xf>
    <xf numFmtId="2" fontId="0" fillId="42" borderId="27" xfId="0" applyNumberFormat="1" applyFont="1" applyFill="1" applyBorder="1" applyAlignment="1">
      <alignment horizontal="right"/>
    </xf>
    <xf numFmtId="0" fontId="0" fillId="0" borderId="29" xfId="0" applyNumberFormat="1" applyBorder="1" applyAlignment="1">
      <alignment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0" fillId="0" borderId="30" xfId="0" applyNumberFormat="1" applyBorder="1" applyAlignment="1">
      <alignment wrapText="1"/>
    </xf>
    <xf numFmtId="22" fontId="0" fillId="36" borderId="0" xfId="0" applyNumberFormat="1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NumberFormat="1" applyBorder="1" applyAlignment="1">
      <alignment/>
    </xf>
    <xf numFmtId="2" fontId="0" fillId="0" borderId="38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40" xfId="0" applyNumberFormat="1" applyBorder="1" applyAlignment="1">
      <alignment/>
    </xf>
    <xf numFmtId="0" fontId="1" fillId="0" borderId="16" xfId="0" applyFont="1" applyBorder="1" applyAlignment="1" applyProtection="1">
      <alignment/>
      <protection locked="0"/>
    </xf>
    <xf numFmtId="164" fontId="1" fillId="0" borderId="0" xfId="0" applyNumberFormat="1" applyFont="1" applyFill="1" applyAlignment="1">
      <alignment horizontal="right"/>
    </xf>
    <xf numFmtId="22" fontId="0" fillId="43" borderId="0" xfId="0" applyNumberFormat="1" applyFont="1" applyFill="1" applyBorder="1" applyAlignment="1">
      <alignment/>
    </xf>
    <xf numFmtId="164" fontId="0" fillId="44" borderId="27" xfId="0" applyNumberFormat="1" applyFont="1" applyFill="1" applyBorder="1" applyAlignment="1">
      <alignment/>
    </xf>
    <xf numFmtId="2" fontId="0" fillId="45" borderId="27" xfId="0" applyNumberFormat="1" applyFont="1" applyFill="1" applyBorder="1" applyAlignment="1">
      <alignment horizontal="right"/>
    </xf>
    <xf numFmtId="0" fontId="0" fillId="44" borderId="27" xfId="0" applyNumberFormat="1" applyFont="1" applyFill="1" applyBorder="1" applyAlignment="1" applyProtection="1">
      <alignment/>
      <protection/>
    </xf>
    <xf numFmtId="0" fontId="0" fillId="44" borderId="27" xfId="0" applyNumberFormat="1" applyFont="1" applyFill="1" applyBorder="1" applyAlignment="1" applyProtection="1">
      <alignment/>
      <protection locked="0"/>
    </xf>
    <xf numFmtId="0" fontId="0" fillId="44" borderId="27" xfId="0" applyNumberFormat="1" applyFont="1" applyFill="1" applyBorder="1" applyAlignment="1" applyProtection="1">
      <alignment horizontal="left"/>
      <protection/>
    </xf>
    <xf numFmtId="22" fontId="0" fillId="46" borderId="0" xfId="0" applyNumberFormat="1" applyFont="1" applyFill="1" applyBorder="1" applyAlignment="1">
      <alignment/>
    </xf>
    <xf numFmtId="164" fontId="0" fillId="47" borderId="27" xfId="0" applyNumberFormat="1" applyFont="1" applyFill="1" applyBorder="1" applyAlignment="1">
      <alignment/>
    </xf>
    <xf numFmtId="2" fontId="0" fillId="48" borderId="27" xfId="0" applyNumberFormat="1" applyFont="1" applyFill="1" applyBorder="1" applyAlignment="1">
      <alignment horizontal="right"/>
    </xf>
    <xf numFmtId="0" fontId="0" fillId="47" borderId="27" xfId="0" applyNumberFormat="1" applyFont="1" applyFill="1" applyBorder="1" applyAlignment="1" applyProtection="1">
      <alignment/>
      <protection/>
    </xf>
    <xf numFmtId="0" fontId="0" fillId="47" borderId="27" xfId="0" applyNumberFormat="1" applyFont="1" applyFill="1" applyBorder="1" applyAlignment="1" applyProtection="1">
      <alignment/>
      <protection locked="0"/>
    </xf>
    <xf numFmtId="0" fontId="0" fillId="47" borderId="27" xfId="0" applyNumberFormat="1" applyFont="1" applyFill="1" applyBorder="1" applyAlignment="1" applyProtection="1">
      <alignment horizontal="left"/>
      <protection/>
    </xf>
    <xf numFmtId="22" fontId="0" fillId="36" borderId="27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Pilot Category" xfId="46"/>
    <cellStyle name="DataPilot Corner" xfId="47"/>
    <cellStyle name="DataPilot Field" xfId="48"/>
    <cellStyle name="DataPilot Result" xfId="49"/>
    <cellStyle name="DataPilot Title" xfId="50"/>
    <cellStyle name="DataPilot Value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numFmt numFmtId="2" formatCode="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B6B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2021-1 Downtime by System 
January 26, 2021-April 22, 2021
 Scheduled User Time = 1767 hours     
User downtime = 39.90 hours</a:t>
            </a:r>
          </a:p>
        </c:rich>
      </c:tx>
      <c:layout>
        <c:manualLayout>
          <c:xMode val="factor"/>
          <c:yMode val="factor"/>
          <c:x val="-0.005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8825"/>
          <c:w val="0.87"/>
          <c:h val="0.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Stats!$A$14</c:f>
              <c:strCache>
                <c:ptCount val="1"/>
                <c:pt idx="0">
                  <c:v>Run 2021-1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Stats!$B$13:$S$13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VAC</c:v>
                </c:pt>
                <c:pt idx="9">
                  <c:v>Operations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Stats!$B$14:$S$14</c:f>
              <c:numCache>
                <c:ptCount val="18"/>
                <c:pt idx="0">
                  <c:v>0.0060743255989789335</c:v>
                </c:pt>
                <c:pt idx="1">
                  <c:v>0</c:v>
                </c:pt>
                <c:pt idx="2">
                  <c:v>0.008205998868105416</c:v>
                </c:pt>
                <c:pt idx="4">
                  <c:v>0</c:v>
                </c:pt>
                <c:pt idx="5">
                  <c:v>0.0011035653649662084</c:v>
                </c:pt>
                <c:pt idx="6">
                  <c:v>0</c:v>
                </c:pt>
                <c:pt idx="7">
                  <c:v>0.0014997170344691313</c:v>
                </c:pt>
                <c:pt idx="8">
                  <c:v>0</c:v>
                </c:pt>
                <c:pt idx="9">
                  <c:v>0</c:v>
                </c:pt>
                <c:pt idx="10">
                  <c:v>0.00027353329560680803</c:v>
                </c:pt>
                <c:pt idx="11">
                  <c:v>0</c:v>
                </c:pt>
                <c:pt idx="12">
                  <c:v>0</c:v>
                </c:pt>
                <c:pt idx="13">
                  <c:v>0.005423504999144804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Stats!$A$15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Stats!$B$13:$S$13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VAC</c:v>
                </c:pt>
                <c:pt idx="9">
                  <c:v>Operations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Stats!$B$15:$S$15</c:f>
              <c:numCache>
                <c:ptCount val="18"/>
                <c:pt idx="0">
                  <c:v>0.0054</c:v>
                </c:pt>
                <c:pt idx="1">
                  <c:v>0.0012000000000000001</c:v>
                </c:pt>
                <c:pt idx="2">
                  <c:v>0.0054</c:v>
                </c:pt>
                <c:pt idx="3">
                  <c:v>0.003</c:v>
                </c:pt>
                <c:pt idx="4">
                  <c:v>0.0028</c:v>
                </c:pt>
                <c:pt idx="5">
                  <c:v>0.0028</c:v>
                </c:pt>
                <c:pt idx="6">
                  <c:v>0.0028</c:v>
                </c:pt>
                <c:pt idx="7">
                  <c:v>0.0036000000000000003</c:v>
                </c:pt>
                <c:pt idx="8">
                  <c:v>0.0036000000000000003</c:v>
                </c:pt>
                <c:pt idx="9">
                  <c:v>0.0012000000000000001</c:v>
                </c:pt>
                <c:pt idx="10">
                  <c:v>0</c:v>
                </c:pt>
                <c:pt idx="11">
                  <c:v>0.0006000000000000001</c:v>
                </c:pt>
                <c:pt idx="12">
                  <c:v>0.0006000000000000001</c:v>
                </c:pt>
                <c:pt idx="13">
                  <c:v>0.0018000000000000002</c:v>
                </c:pt>
                <c:pt idx="14">
                  <c:v>0.0006000000000000001</c:v>
                </c:pt>
                <c:pt idx="15">
                  <c:v>0.0018000000000000002</c:v>
                </c:pt>
                <c:pt idx="16">
                  <c:v>0.0012000000000000001</c:v>
                </c:pt>
                <c:pt idx="17">
                  <c:v>0.0006000000000000001</c:v>
                </c:pt>
              </c:numCache>
            </c:numRef>
          </c:val>
        </c:ser>
        <c:axId val="49315662"/>
        <c:axId val="41187775"/>
      </c:barChart>
      <c:catAx>
        <c:axId val="49315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39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87775"/>
        <c:crosses val="autoZero"/>
        <c:auto val="1"/>
        <c:lblOffset val="100"/>
        <c:tickLblSkip val="1"/>
        <c:noMultiLvlLbl val="0"/>
      </c:catAx>
      <c:valAx>
        <c:axId val="41187775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8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8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15662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75"/>
          <c:y val="0.53475"/>
          <c:w val="0.20925"/>
          <c:h val="0.028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4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2021-1 Faults Per Day By System</a:t>
            </a:r>
          </a:p>
        </c:rich>
      </c:tx>
      <c:layout>
        <c:manualLayout>
          <c:xMode val="factor"/>
          <c:yMode val="factor"/>
          <c:x val="-0.0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3775"/>
          <c:w val="0.9375"/>
          <c:h val="0.8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Stats!$A$21</c:f>
              <c:strCache>
                <c:ptCount val="1"/>
                <c:pt idx="0">
                  <c:v>Run 2021-1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Stats!$B$20:$S$20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VAC</c:v>
                </c:pt>
                <c:pt idx="9">
                  <c:v>Operations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Stats!$B$21:$S$21</c:f>
              <c:numCache>
                <c:ptCount val="18"/>
                <c:pt idx="0">
                  <c:v>0.11116901163800741</c:v>
                </c:pt>
                <c:pt idx="1">
                  <c:v>0</c:v>
                </c:pt>
                <c:pt idx="2">
                  <c:v>0.06948063227375463</c:v>
                </c:pt>
                <c:pt idx="3">
                  <c:v>0</c:v>
                </c:pt>
                <c:pt idx="4">
                  <c:v>0</c:v>
                </c:pt>
                <c:pt idx="5">
                  <c:v>0.013896126454750926</c:v>
                </c:pt>
                <c:pt idx="6">
                  <c:v>0</c:v>
                </c:pt>
                <c:pt idx="7">
                  <c:v>0.013896126454750926</c:v>
                </c:pt>
                <c:pt idx="8">
                  <c:v>0</c:v>
                </c:pt>
                <c:pt idx="9">
                  <c:v>0</c:v>
                </c:pt>
                <c:pt idx="10">
                  <c:v>0.013896126454750926</c:v>
                </c:pt>
                <c:pt idx="11">
                  <c:v>0</c:v>
                </c:pt>
                <c:pt idx="13">
                  <c:v>0.04168837936425278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Stats!$A$22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Stats!$B$20:$S$20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VAC</c:v>
                </c:pt>
                <c:pt idx="9">
                  <c:v>Operations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Stats!$B$22:$S$22</c:f>
              <c:numCache>
                <c:ptCount val="18"/>
                <c:pt idx="0">
                  <c:v>0.12</c:v>
                </c:pt>
                <c:pt idx="1">
                  <c:v>0.03</c:v>
                </c:pt>
                <c:pt idx="2">
                  <c:v>0.12</c:v>
                </c:pt>
                <c:pt idx="3">
                  <c:v>0.05</c:v>
                </c:pt>
                <c:pt idx="4">
                  <c:v>0.035</c:v>
                </c:pt>
                <c:pt idx="5">
                  <c:v>0.035</c:v>
                </c:pt>
                <c:pt idx="6">
                  <c:v>0.035</c:v>
                </c:pt>
                <c:pt idx="7">
                  <c:v>0.06</c:v>
                </c:pt>
                <c:pt idx="8">
                  <c:v>0.06</c:v>
                </c:pt>
                <c:pt idx="9">
                  <c:v>0.02</c:v>
                </c:pt>
                <c:pt idx="10">
                  <c:v>0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0.02</c:v>
                </c:pt>
                <c:pt idx="16">
                  <c:v>0.01</c:v>
                </c:pt>
                <c:pt idx="17">
                  <c:v>0.02</c:v>
                </c:pt>
              </c:numCache>
            </c:numRef>
          </c:val>
        </c:ser>
        <c:axId val="35145656"/>
        <c:axId val="47875449"/>
      </c:barChart>
      <c:catAx>
        <c:axId val="351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75449"/>
        <c:crossesAt val="0"/>
        <c:auto val="1"/>
        <c:lblOffset val="100"/>
        <c:tickLblSkip val="1"/>
        <c:noMultiLvlLbl val="0"/>
      </c:catAx>
      <c:valAx>
        <c:axId val="47875449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99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9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45656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"/>
          <c:y val="0.97525"/>
          <c:w val="0.05675"/>
          <c:h val="0.02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96</xdr:row>
      <xdr:rowOff>76200</xdr:rowOff>
    </xdr:from>
    <xdr:to>
      <xdr:col>11</xdr:col>
      <xdr:colOff>85725</xdr:colOff>
      <xdr:row>97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9344025" y="173640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676275</xdr:colOff>
      <xdr:row>55</xdr:row>
      <xdr:rowOff>114300</xdr:rowOff>
    </xdr:from>
    <xdr:to>
      <xdr:col>11</xdr:col>
      <xdr:colOff>9525</xdr:colOff>
      <xdr:row>56</xdr:row>
      <xdr:rowOff>114300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9277350" y="106965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676275</xdr:colOff>
      <xdr:row>56</xdr:row>
      <xdr:rowOff>114300</xdr:rowOff>
    </xdr:from>
    <xdr:to>
      <xdr:col>11</xdr:col>
      <xdr:colOff>9525</xdr:colOff>
      <xdr:row>57</xdr:row>
      <xdr:rowOff>114300</xdr:rowOff>
    </xdr:to>
    <xdr:sp fLocksText="0">
      <xdr:nvSpPr>
        <xdr:cNvPr id="3" name="Text Box 2"/>
        <xdr:cNvSpPr txBox="1">
          <a:spLocks noChangeArrowheads="1"/>
        </xdr:cNvSpPr>
      </xdr:nvSpPr>
      <xdr:spPr>
        <a:xfrm>
          <a:off x="9277350" y="10868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676275</xdr:colOff>
      <xdr:row>56</xdr:row>
      <xdr:rowOff>114300</xdr:rowOff>
    </xdr:from>
    <xdr:to>
      <xdr:col>11</xdr:col>
      <xdr:colOff>9525</xdr:colOff>
      <xdr:row>57</xdr:row>
      <xdr:rowOff>114300</xdr:rowOff>
    </xdr:to>
    <xdr:sp fLocksText="0">
      <xdr:nvSpPr>
        <xdr:cNvPr id="4" name="Text Box 2"/>
        <xdr:cNvSpPr txBox="1">
          <a:spLocks noChangeArrowheads="1"/>
        </xdr:cNvSpPr>
      </xdr:nvSpPr>
      <xdr:spPr>
        <a:xfrm>
          <a:off x="9277350" y="10868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123825</xdr:colOff>
      <xdr:row>71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12506325" cy="1165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28</xdr:col>
      <xdr:colOff>276225</xdr:colOff>
      <xdr:row>79</xdr:row>
      <xdr:rowOff>28575</xdr:rowOff>
    </xdr:to>
    <xdr:graphicFrame>
      <xdr:nvGraphicFramePr>
        <xdr:cNvPr id="1" name="Chart 1"/>
        <xdr:cNvGraphicFramePr/>
      </xdr:nvGraphicFramePr>
      <xdr:xfrm>
        <a:off x="0" y="619125"/>
        <a:ext cx="17345025" cy="1220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Fy\reliabilitySummar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StatisticsbyWeek"/>
      <sheetName val="reliabilitySummary"/>
      <sheetName val="Stats"/>
      <sheetName val="Stats _2_"/>
      <sheetName val="Downtime chart"/>
      <sheetName val="Lost Stores FY chart"/>
      <sheetName val="summary"/>
    </sheetNames>
    <sheetDataSet>
      <sheetData sheetId="1">
        <row r="7">
          <cell r="B7">
            <v>0.0054</v>
          </cell>
          <cell r="F7">
            <v>0.12</v>
          </cell>
        </row>
        <row r="8">
          <cell r="B8">
            <v>0.0012000000000000001</v>
          </cell>
          <cell r="F8">
            <v>0.03</v>
          </cell>
        </row>
        <row r="9">
          <cell r="B9">
            <v>0.0054</v>
          </cell>
        </row>
        <row r="10">
          <cell r="B10">
            <v>0.003</v>
          </cell>
        </row>
        <row r="11">
          <cell r="B11">
            <v>0.0012000000000000001</v>
          </cell>
        </row>
        <row r="16">
          <cell r="B16">
            <v>0.0036000000000000003</v>
          </cell>
        </row>
        <row r="18">
          <cell r="B18">
            <v>0.0012000000000000001</v>
          </cell>
        </row>
        <row r="19">
          <cell r="B19">
            <v>0</v>
          </cell>
        </row>
        <row r="20">
          <cell r="B20">
            <v>0.0006000000000000001</v>
          </cell>
        </row>
        <row r="24">
          <cell r="B24">
            <v>0.0006000000000000001</v>
          </cell>
        </row>
        <row r="25">
          <cell r="B25">
            <v>0.0018000000000000002</v>
          </cell>
        </row>
        <row r="26">
          <cell r="B26">
            <v>0.0006000000000000001</v>
          </cell>
        </row>
        <row r="27">
          <cell r="B27">
            <v>0.0018000000000000002</v>
          </cell>
        </row>
        <row r="28">
          <cell r="B28">
            <v>0.0006000000000000001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T5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DIN #">
      <sharedItems containsMixedTypes="1" containsNumber="1" containsInteger="1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Blank="1" containsMixedTypes="0" count="7">
        <m/>
        <s v="PS"/>
        <s v="AOP"/>
        <s v="RF"/>
        <s v="FMS"/>
        <s v="UNK"/>
        <s v="OTH"/>
      </sharedItems>
    </cacheField>
    <cacheField name="System">
      <sharedItems containsMixedTypes="0"/>
    </cacheField>
    <cacheField name="Group">
      <sharedItems containsMixedTypes="0"/>
    </cacheField>
    <cacheField name="Type">
      <sharedItems containsBlank="1" containsMixedTypes="0" count="4">
        <m/>
        <s v="Inhibits Beam to User"/>
        <s v="Store Lost"/>
        <s v="Scheduled"/>
      </sharedItems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T52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DIN #">
      <sharedItems containsMixedTypes="1" containsNumber="1" containsInteger="1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MixedTypes="0"/>
    </cacheField>
    <cacheField name="System">
      <sharedItems containsMixedTypes="0"/>
    </cacheField>
    <cacheField name="Group">
      <sharedItems containsBlank="1" containsMixedTypes="0" count="7">
        <s v="ComEd"/>
        <m/>
        <s v="RF"/>
        <s v="PS"/>
        <s v="MOM"/>
        <s v="SI"/>
        <s v="AOP"/>
      </sharedItems>
    </cacheField>
    <cacheField name="Type">
      <sharedItems containsMixedTypes="0"/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2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6:F43" firstHeaderRow="1" firstDataRow="2" firstDataCol="2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7">
        <item h="1" x="0"/>
        <item x="1"/>
        <item x="3"/>
        <item x="2"/>
        <item m="1" x="5"/>
        <item m="1" x="4"/>
        <item m="1" x="6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3"/>
        <item x="0"/>
        <item x="2"/>
        <item x="1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14"/>
    <field x="-2"/>
  </rowFields>
  <rowItems count="6">
    <i>
      <x v="2"/>
      <x/>
    </i>
    <i i="1" r="1">
      <x v="1"/>
    </i>
    <i>
      <x v="3"/>
      <x/>
    </i>
    <i i="1" r="1">
      <x v="1"/>
    </i>
    <i t="grand">
      <x/>
    </i>
    <i t="grand" i="1">
      <x/>
    </i>
  </rowItems>
  <colFields count="1">
    <field x="11"/>
  </colFields>
  <colItems count="4">
    <i>
      <x v="1"/>
    </i>
    <i>
      <x v="2"/>
    </i>
    <i>
      <x v="3"/>
    </i>
    <i t="grand">
      <x/>
    </i>
  </colItems>
  <dataFields count="2">
    <dataField name="Sum - Store Lost" fld="16" baseField="0" baseItem="0"/>
    <dataField name="Sum - Inhibits Beam" fld="18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17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H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8">
        <item h="1" x="1"/>
        <item x="3"/>
        <item x="2"/>
        <item x="4"/>
        <item x="6"/>
        <item x="0"/>
        <item x="5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3">
    <i>
      <x/>
    </i>
    <i i="1">
      <x v="1"/>
    </i>
    <i i="2">
      <x v="2"/>
    </i>
  </rowItems>
  <colFields count="1">
    <field x="13"/>
  </colFields>
  <colItems count="7">
    <i>
      <x v="1"/>
    </i>
    <i>
      <x v="2"/>
    </i>
    <i>
      <x v="3"/>
    </i>
    <i>
      <x v="4"/>
    </i>
    <i>
      <x v="5"/>
    </i>
    <i>
      <x v="6"/>
    </i>
    <i t="grand">
      <x/>
    </i>
  </colItems>
  <dataFields count="3">
    <dataField name="Sum - Inhibits Beam" fld="18" baseField="0" baseItem="0"/>
    <dataField name="Sum - Store Lost" fld="16" baseField="13" baseItem="0"/>
    <dataField name="Sum of System &#10;Length" fld="10" baseField="0" baseItem="0"/>
  </dataFields>
  <formats count="3">
    <format dxfId="0">
      <pivotArea outline="0" fieldPosition="0">
        <references count="2">
          <reference field="4294967294" count="1">
            <x v="2"/>
          </reference>
          <reference field="13" count="1">
            <x v="1"/>
          </reference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3" count="1">
            <x v="2"/>
          </reference>
        </references>
      </pivotArea>
    </format>
    <format dxfId="0">
      <pivotArea outline="0" fieldPosition="0" axis="axisCol" field="13" grandCol="1">
        <references count="1">
          <reference field="4294967294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4"/>
  <sheetViews>
    <sheetView tabSelected="1" zoomScale="75" zoomScaleNormal="75" zoomScalePageLayoutView="0" workbookViewId="0" topLeftCell="A1">
      <pane ySplit="5" topLeftCell="A41" activePane="bottomLeft" state="frozen"/>
      <selection pane="topLeft" activeCell="A1" sqref="A1"/>
      <selection pane="bottomLeft" activeCell="F46" sqref="F46"/>
    </sheetView>
  </sheetViews>
  <sheetFormatPr defaultColWidth="9.00390625" defaultRowHeight="12.75"/>
  <cols>
    <col min="1" max="1" width="6.7109375" style="1" customWidth="1"/>
    <col min="2" max="2" width="15.7109375" style="2" customWidth="1"/>
    <col min="3" max="3" width="16.57421875" style="2" customWidth="1"/>
    <col min="4" max="4" width="10.421875" style="3" customWidth="1"/>
    <col min="5" max="5" width="27.140625" style="4" customWidth="1"/>
    <col min="6" max="6" width="9.28125" style="5" customWidth="1"/>
    <col min="7" max="7" width="3.28125" style="6" customWidth="1"/>
    <col min="8" max="8" width="15.8515625" style="7" customWidth="1"/>
    <col min="9" max="9" width="15.421875" style="7" customWidth="1"/>
    <col min="10" max="10" width="8.57421875" style="3" customWidth="1"/>
    <col min="11" max="11" width="11.140625" style="8" customWidth="1"/>
    <col min="12" max="12" width="11.28125" style="9" customWidth="1"/>
    <col min="13" max="13" width="13.140625" style="10" customWidth="1"/>
    <col min="14" max="14" width="11.28125" style="10" customWidth="1"/>
    <col min="15" max="15" width="21.57421875" style="9" customWidth="1"/>
    <col min="16" max="16" width="68.140625" style="11" customWidth="1"/>
    <col min="17" max="19" width="5.7109375" style="12" customWidth="1"/>
    <col min="20" max="16384" width="9.00390625" style="12" customWidth="1"/>
  </cols>
  <sheetData>
    <row r="1" spans="1:24" ht="12.75">
      <c r="A1" s="13" t="s">
        <v>0</v>
      </c>
      <c r="B1" s="14"/>
      <c r="C1" s="14"/>
      <c r="D1" s="15">
        <v>0.25</v>
      </c>
      <c r="E1" s="16" t="s">
        <v>1</v>
      </c>
      <c r="F1" s="17"/>
      <c r="G1" s="18"/>
      <c r="H1" s="19"/>
      <c r="I1" s="19"/>
      <c r="J1" s="15"/>
      <c r="K1" s="20"/>
      <c r="L1" s="21"/>
      <c r="M1" s="22"/>
      <c r="N1" s="22"/>
      <c r="O1" s="21"/>
      <c r="P1" s="23"/>
      <c r="W1" s="24" t="s">
        <v>2</v>
      </c>
      <c r="X1" s="12">
        <f>D1/24</f>
        <v>0.010416666666666666</v>
      </c>
    </row>
    <row r="2" spans="1:16" ht="26.25">
      <c r="A2" s="191" t="s">
        <v>72</v>
      </c>
      <c r="B2" s="191"/>
      <c r="C2" s="191"/>
      <c r="D2" s="191"/>
      <c r="E2" s="191"/>
      <c r="F2" s="191"/>
      <c r="G2" s="191"/>
      <c r="H2" s="191"/>
      <c r="I2" s="191"/>
      <c r="J2" s="25"/>
      <c r="K2" s="25"/>
      <c r="L2" s="26"/>
      <c r="M2" s="27"/>
      <c r="N2" s="27"/>
      <c r="O2" s="26"/>
      <c r="P2" s="23"/>
    </row>
    <row r="3" spans="1:20" s="30" customFormat="1" ht="12.75">
      <c r="A3" s="28"/>
      <c r="B3" s="14"/>
      <c r="C3" s="14"/>
      <c r="D3" s="15"/>
      <c r="E3" s="16"/>
      <c r="F3" s="29"/>
      <c r="G3" s="18"/>
      <c r="H3" s="19"/>
      <c r="I3" s="19"/>
      <c r="J3" s="15"/>
      <c r="K3" s="20"/>
      <c r="L3" s="21"/>
      <c r="M3" s="22"/>
      <c r="N3" s="22"/>
      <c r="O3" s="21"/>
      <c r="P3" s="23"/>
      <c r="Q3" s="12"/>
      <c r="R3" s="12"/>
      <c r="S3" s="12"/>
      <c r="T3" s="12"/>
    </row>
    <row r="4" spans="1:20" s="30" customFormat="1" ht="20.25" customHeight="1">
      <c r="A4" s="28"/>
      <c r="B4" s="14"/>
      <c r="C4" s="14"/>
      <c r="D4" s="15"/>
      <c r="E4" s="16"/>
      <c r="F4" s="29"/>
      <c r="G4" s="18"/>
      <c r="H4" s="19"/>
      <c r="I4" s="19"/>
      <c r="J4" s="15"/>
      <c r="K4" s="20"/>
      <c r="L4" s="21"/>
      <c r="M4" s="22"/>
      <c r="N4" s="22"/>
      <c r="O4" s="21"/>
      <c r="P4" s="23"/>
      <c r="Q4" s="12"/>
      <c r="R4" s="12"/>
      <c r="S4" s="12"/>
      <c r="T4" s="12"/>
    </row>
    <row r="5" spans="1:20" s="30" customFormat="1" ht="66.75" customHeight="1">
      <c r="A5" s="97" t="s">
        <v>3</v>
      </c>
      <c r="B5" s="98" t="s">
        <v>4</v>
      </c>
      <c r="C5" s="98" t="s">
        <v>5</v>
      </c>
      <c r="D5" s="99" t="s">
        <v>6</v>
      </c>
      <c r="E5" s="100" t="s">
        <v>7</v>
      </c>
      <c r="F5" s="97" t="s">
        <v>8</v>
      </c>
      <c r="G5" s="101" t="s">
        <v>9</v>
      </c>
      <c r="H5" s="98" t="s">
        <v>4</v>
      </c>
      <c r="I5" s="98" t="s">
        <v>5</v>
      </c>
      <c r="J5" s="102" t="s">
        <v>10</v>
      </c>
      <c r="K5" s="103" t="s">
        <v>11</v>
      </c>
      <c r="L5" s="104" t="s">
        <v>12</v>
      </c>
      <c r="M5" s="105" t="s">
        <v>13</v>
      </c>
      <c r="N5" s="105" t="s">
        <v>14</v>
      </c>
      <c r="O5" s="104" t="s">
        <v>15</v>
      </c>
      <c r="P5" s="31" t="s">
        <v>16</v>
      </c>
      <c r="Q5" s="32" t="s">
        <v>17</v>
      </c>
      <c r="R5" s="32" t="s">
        <v>18</v>
      </c>
      <c r="S5" s="32" t="s">
        <v>19</v>
      </c>
      <c r="T5" s="33" t="s">
        <v>20</v>
      </c>
    </row>
    <row r="6" spans="1:23" s="132" customFormat="1" ht="12.75">
      <c r="A6" s="133">
        <v>1</v>
      </c>
      <c r="B6" s="134">
        <v>44222.333333333336</v>
      </c>
      <c r="C6" s="158">
        <v>44224.57152777778</v>
      </c>
      <c r="D6" s="135">
        <f>(C6-B6)*24</f>
        <v>53.71666666661622</v>
      </c>
      <c r="E6" s="134" t="s">
        <v>71</v>
      </c>
      <c r="F6" s="136">
        <v>107302</v>
      </c>
      <c r="G6" s="137"/>
      <c r="H6" s="158">
        <v>44224.57152777778</v>
      </c>
      <c r="I6" s="134">
        <v>44224.66805555556</v>
      </c>
      <c r="J6" s="135">
        <f>(I6-H6)*24</f>
        <v>2.3166666667093523</v>
      </c>
      <c r="K6" s="135">
        <f>(I6-H6)*24</f>
        <v>2.3166666667093523</v>
      </c>
      <c r="L6" s="138" t="s">
        <v>70</v>
      </c>
      <c r="M6" s="139" t="s">
        <v>70</v>
      </c>
      <c r="N6" s="139" t="s">
        <v>70</v>
      </c>
      <c r="O6" s="140" t="s">
        <v>17</v>
      </c>
      <c r="P6" s="134"/>
      <c r="Q6" s="129">
        <f aca="true" t="shared" si="0" ref="Q6:Q51">IF($O6="Store Lost",1,"")</f>
        <v>1</v>
      </c>
      <c r="R6" s="129">
        <f aca="true" t="shared" si="1" ref="R6:R51">IF($O6="Scheduled",1,"")</f>
      </c>
      <c r="S6" s="129">
        <f aca="true" t="shared" si="2" ref="S6:S51">IF($O6="Inhibits beam to user",1,"")</f>
      </c>
      <c r="T6" s="130">
        <f aca="true" t="shared" si="3" ref="T6:T16">SUM(Q6:S6)</f>
        <v>1</v>
      </c>
      <c r="U6" s="131"/>
      <c r="V6" s="131"/>
      <c r="W6" s="131"/>
    </row>
    <row r="7" spans="1:23" s="118" customFormat="1" ht="15.75" customHeight="1">
      <c r="A7" s="122">
        <v>2</v>
      </c>
      <c r="B7" s="123">
        <v>44224.66805555556</v>
      </c>
      <c r="C7" s="123">
        <v>44228.333333333336</v>
      </c>
      <c r="D7" s="153">
        <f>(C7-B7)*24</f>
        <v>87.96666666667443</v>
      </c>
      <c r="E7" s="123" t="s">
        <v>67</v>
      </c>
      <c r="F7" s="124"/>
      <c r="G7" s="125"/>
      <c r="H7" s="123"/>
      <c r="I7" s="123"/>
      <c r="J7" s="153">
        <f>(I7-H7)*24</f>
        <v>0</v>
      </c>
      <c r="K7" s="153">
        <f>(I7-H7)*24</f>
        <v>0</v>
      </c>
      <c r="L7" s="126"/>
      <c r="M7" s="127"/>
      <c r="N7" s="127"/>
      <c r="O7" s="128" t="s">
        <v>21</v>
      </c>
      <c r="P7" s="123"/>
      <c r="Q7" s="129">
        <f t="shared" si="0"/>
      </c>
      <c r="R7" s="129">
        <f t="shared" si="1"/>
        <v>1</v>
      </c>
      <c r="S7" s="129">
        <f t="shared" si="2"/>
      </c>
      <c r="T7" s="130">
        <f t="shared" si="3"/>
        <v>1</v>
      </c>
      <c r="U7" s="117"/>
      <c r="V7" s="117"/>
      <c r="W7" s="117"/>
    </row>
    <row r="8" spans="1:23" s="152" customFormat="1" ht="12.75">
      <c r="A8" s="141"/>
      <c r="B8" s="142"/>
      <c r="C8" s="142"/>
      <c r="D8" s="143">
        <f>SUM(D6:D7)</f>
        <v>141.68333333329065</v>
      </c>
      <c r="E8" s="144"/>
      <c r="F8" s="145"/>
      <c r="G8" s="146"/>
      <c r="H8" s="147"/>
      <c r="I8" s="147"/>
      <c r="J8" s="148">
        <f>SUM(J6:J7)</f>
        <v>2.3166666667093523</v>
      </c>
      <c r="K8" s="148">
        <f>SUM(K6:K7)</f>
        <v>2.3166666667093523</v>
      </c>
      <c r="L8" s="149"/>
      <c r="M8" s="150"/>
      <c r="N8" s="150"/>
      <c r="O8" s="151"/>
      <c r="P8" s="144"/>
      <c r="Q8" s="129">
        <f t="shared" si="0"/>
      </c>
      <c r="R8" s="129">
        <f t="shared" si="1"/>
      </c>
      <c r="S8" s="129">
        <f t="shared" si="2"/>
      </c>
      <c r="T8" s="130">
        <f t="shared" si="3"/>
        <v>0</v>
      </c>
      <c r="U8" s="30"/>
      <c r="V8" s="30"/>
      <c r="W8" s="30"/>
    </row>
    <row r="9" spans="1:23" s="118" customFormat="1" ht="15.75" customHeight="1">
      <c r="A9" s="122">
        <v>3</v>
      </c>
      <c r="B9" s="123">
        <v>44229.333333333336</v>
      </c>
      <c r="C9" s="123">
        <v>44235.333333333336</v>
      </c>
      <c r="D9" s="153">
        <f>(C9-B9)*24</f>
        <v>144</v>
      </c>
      <c r="E9" s="123" t="s">
        <v>67</v>
      </c>
      <c r="F9" s="124"/>
      <c r="G9" s="125"/>
      <c r="H9" s="123"/>
      <c r="I9" s="123"/>
      <c r="J9" s="153">
        <f>(I9-H9)*24</f>
        <v>0</v>
      </c>
      <c r="K9" s="153">
        <f>(I9-H9)*24</f>
        <v>0</v>
      </c>
      <c r="L9" s="126"/>
      <c r="M9" s="127"/>
      <c r="N9" s="127"/>
      <c r="O9" s="128" t="s">
        <v>21</v>
      </c>
      <c r="P9" s="123"/>
      <c r="Q9" s="129">
        <f t="shared" si="0"/>
      </c>
      <c r="R9" s="129">
        <f t="shared" si="1"/>
        <v>1</v>
      </c>
      <c r="S9" s="129">
        <f t="shared" si="2"/>
      </c>
      <c r="T9" s="130">
        <f t="shared" si="3"/>
        <v>1</v>
      </c>
      <c r="U9" s="117"/>
      <c r="V9" s="117"/>
      <c r="W9" s="117"/>
    </row>
    <row r="10" spans="1:23" s="152" customFormat="1" ht="12.75">
      <c r="A10" s="141"/>
      <c r="B10" s="142"/>
      <c r="C10" s="142"/>
      <c r="D10" s="143">
        <f>SUM(D9:D9)</f>
        <v>144</v>
      </c>
      <c r="E10" s="144"/>
      <c r="F10" s="145"/>
      <c r="G10" s="146"/>
      <c r="H10" s="147"/>
      <c r="I10" s="147"/>
      <c r="J10" s="148">
        <f>SUM(J9:J9)</f>
        <v>0</v>
      </c>
      <c r="K10" s="148">
        <f>SUM(K9:K9)</f>
        <v>0</v>
      </c>
      <c r="L10" s="149"/>
      <c r="M10" s="150"/>
      <c r="N10" s="150"/>
      <c r="O10" s="151"/>
      <c r="P10" s="144"/>
      <c r="Q10" s="129">
        <f t="shared" si="0"/>
      </c>
      <c r="R10" s="129">
        <f t="shared" si="1"/>
      </c>
      <c r="S10" s="129">
        <f t="shared" si="2"/>
      </c>
      <c r="T10" s="130">
        <f t="shared" si="3"/>
        <v>0</v>
      </c>
      <c r="U10" s="30"/>
      <c r="V10" s="30"/>
      <c r="W10" s="30"/>
    </row>
    <row r="11" spans="1:23" s="132" customFormat="1" ht="12.75">
      <c r="A11" s="133">
        <v>4</v>
      </c>
      <c r="B11" s="134">
        <v>44236.333333333336</v>
      </c>
      <c r="C11" s="158">
        <v>44237.51111111111</v>
      </c>
      <c r="D11" s="135">
        <f>(C11-B11)*24</f>
        <v>28.26666666660458</v>
      </c>
      <c r="E11" s="134" t="s">
        <v>73</v>
      </c>
      <c r="F11" s="136">
        <v>107306</v>
      </c>
      <c r="G11" s="137"/>
      <c r="H11" s="158">
        <v>44237.51111111111</v>
      </c>
      <c r="I11" s="134">
        <v>44237.53194444445</v>
      </c>
      <c r="J11" s="135">
        <f>(I11-H11)*24</f>
        <v>0.5000000000582077</v>
      </c>
      <c r="K11" s="135">
        <f>(I11-H11)*24</f>
        <v>0.5000000000582077</v>
      </c>
      <c r="L11" s="138" t="s">
        <v>23</v>
      </c>
      <c r="M11" s="139" t="s">
        <v>23</v>
      </c>
      <c r="N11" s="139" t="s">
        <v>23</v>
      </c>
      <c r="O11" s="140" t="s">
        <v>17</v>
      </c>
      <c r="P11" s="134"/>
      <c r="Q11" s="129">
        <f t="shared" si="0"/>
        <v>1</v>
      </c>
      <c r="R11" s="129">
        <f t="shared" si="1"/>
      </c>
      <c r="S11" s="129">
        <f t="shared" si="2"/>
      </c>
      <c r="T11" s="130">
        <f t="shared" si="3"/>
        <v>1</v>
      </c>
      <c r="U11" s="131"/>
      <c r="V11" s="131"/>
      <c r="W11" s="131"/>
    </row>
    <row r="12" spans="1:23" s="118" customFormat="1" ht="15.75" customHeight="1">
      <c r="A12" s="122">
        <v>5</v>
      </c>
      <c r="B12" s="123">
        <v>44237.53194444445</v>
      </c>
      <c r="C12" s="123">
        <v>44242.333333333336</v>
      </c>
      <c r="D12" s="153">
        <f>(C12-B12)*24</f>
        <v>115.23333333333721</v>
      </c>
      <c r="E12" s="123" t="s">
        <v>67</v>
      </c>
      <c r="F12" s="124"/>
      <c r="G12" s="125"/>
      <c r="H12" s="123"/>
      <c r="I12" s="123"/>
      <c r="J12" s="153">
        <f>(I12-H12)*24</f>
        <v>0</v>
      </c>
      <c r="K12" s="153">
        <f>(I12-H12)*24</f>
        <v>0</v>
      </c>
      <c r="L12" s="126"/>
      <c r="M12" s="127"/>
      <c r="N12" s="127"/>
      <c r="O12" s="128" t="s">
        <v>21</v>
      </c>
      <c r="P12" s="123"/>
      <c r="Q12" s="129">
        <f t="shared" si="0"/>
      </c>
      <c r="R12" s="129">
        <f t="shared" si="1"/>
        <v>1</v>
      </c>
      <c r="S12" s="129">
        <f t="shared" si="2"/>
      </c>
      <c r="T12" s="130">
        <f t="shared" si="3"/>
        <v>1</v>
      </c>
      <c r="U12" s="117"/>
      <c r="V12" s="117"/>
      <c r="W12" s="117"/>
    </row>
    <row r="13" spans="1:23" s="152" customFormat="1" ht="12.75">
      <c r="A13" s="141"/>
      <c r="B13" s="142"/>
      <c r="C13" s="142"/>
      <c r="D13" s="143">
        <f>SUM(D11:D12)</f>
        <v>143.4999999999418</v>
      </c>
      <c r="E13" s="144"/>
      <c r="F13" s="145"/>
      <c r="G13" s="146"/>
      <c r="H13" s="147"/>
      <c r="I13" s="147"/>
      <c r="J13" s="148">
        <f>SUM(J11:J12)</f>
        <v>0.5000000000582077</v>
      </c>
      <c r="K13" s="148">
        <f>SUM(K11:K12)</f>
        <v>0.5000000000582077</v>
      </c>
      <c r="L13" s="149"/>
      <c r="M13" s="150"/>
      <c r="N13" s="150"/>
      <c r="O13" s="151"/>
      <c r="P13" s="144"/>
      <c r="Q13" s="129">
        <f t="shared" si="0"/>
      </c>
      <c r="R13" s="129">
        <f t="shared" si="1"/>
      </c>
      <c r="S13" s="129">
        <f t="shared" si="2"/>
      </c>
      <c r="T13" s="130">
        <f t="shared" si="3"/>
        <v>0</v>
      </c>
      <c r="U13" s="30"/>
      <c r="V13" s="30"/>
      <c r="W13" s="30"/>
    </row>
    <row r="14" spans="1:23" s="118" customFormat="1" ht="15.75" customHeight="1">
      <c r="A14" s="122">
        <v>6</v>
      </c>
      <c r="B14" s="123">
        <v>44243.333333333336</v>
      </c>
      <c r="C14" s="123">
        <v>44243.55972222222</v>
      </c>
      <c r="D14" s="153">
        <f>(C14-B14)*24</f>
        <v>5.43333333323244</v>
      </c>
      <c r="E14" s="123" t="s">
        <v>71</v>
      </c>
      <c r="F14" s="124">
        <v>107308</v>
      </c>
      <c r="G14" s="125"/>
      <c r="H14" s="123">
        <v>44243.55972222222</v>
      </c>
      <c r="I14" s="123">
        <v>44243.63611111111</v>
      </c>
      <c r="J14" s="153">
        <f>(I14-H14)*24</f>
        <v>1.8333333333721384</v>
      </c>
      <c r="K14" s="153">
        <f>(I14-H14)*24</f>
        <v>1.8333333333721384</v>
      </c>
      <c r="L14" s="126" t="s">
        <v>70</v>
      </c>
      <c r="M14" s="127" t="s">
        <v>70</v>
      </c>
      <c r="N14" s="127" t="s">
        <v>70</v>
      </c>
      <c r="O14" s="128" t="s">
        <v>17</v>
      </c>
      <c r="P14" s="123"/>
      <c r="Q14" s="129">
        <f t="shared" si="0"/>
        <v>1</v>
      </c>
      <c r="R14" s="129">
        <f t="shared" si="1"/>
      </c>
      <c r="S14" s="129">
        <f t="shared" si="2"/>
      </c>
      <c r="T14" s="130">
        <f>SUM(Q14:S14)</f>
        <v>1</v>
      </c>
      <c r="U14" s="117"/>
      <c r="V14" s="117"/>
      <c r="W14" s="117"/>
    </row>
    <row r="15" spans="1:23" s="132" customFormat="1" ht="12.75">
      <c r="A15" s="133">
        <v>7</v>
      </c>
      <c r="B15" s="134">
        <v>44243.63611111111</v>
      </c>
      <c r="C15" s="158">
        <v>44245.407638888886</v>
      </c>
      <c r="D15" s="135">
        <f>(C15-B15)*24</f>
        <v>42.51666666660458</v>
      </c>
      <c r="E15" s="134" t="s">
        <v>71</v>
      </c>
      <c r="F15" s="136">
        <v>107312</v>
      </c>
      <c r="G15" s="137"/>
      <c r="H15" s="158">
        <v>44245.407638888886</v>
      </c>
      <c r="I15" s="134">
        <v>44245.63402777778</v>
      </c>
      <c r="J15" s="135">
        <f>(I15-H15)*24</f>
        <v>5.433333333407063</v>
      </c>
      <c r="K15" s="135">
        <f>(I15-H15)*24</f>
        <v>5.433333333407063</v>
      </c>
      <c r="L15" s="138" t="s">
        <v>70</v>
      </c>
      <c r="M15" s="139" t="s">
        <v>70</v>
      </c>
      <c r="N15" s="139" t="s">
        <v>70</v>
      </c>
      <c r="O15" s="140" t="s">
        <v>17</v>
      </c>
      <c r="P15" s="134"/>
      <c r="Q15" s="129">
        <f t="shared" si="0"/>
        <v>1</v>
      </c>
      <c r="R15" s="129">
        <f t="shared" si="1"/>
      </c>
      <c r="S15" s="129">
        <f t="shared" si="2"/>
      </c>
      <c r="T15" s="130">
        <f t="shared" si="3"/>
        <v>1</v>
      </c>
      <c r="U15" s="131"/>
      <c r="V15" s="131"/>
      <c r="W15" s="131"/>
    </row>
    <row r="16" spans="1:23" s="118" customFormat="1" ht="15.75" customHeight="1">
      <c r="A16" s="122">
        <v>8</v>
      </c>
      <c r="B16" s="123">
        <v>44245.63402777778</v>
      </c>
      <c r="C16" s="123">
        <v>44247.986805555556</v>
      </c>
      <c r="D16" s="153">
        <f>(C16-B16)*24</f>
        <v>56.46666666667443</v>
      </c>
      <c r="E16" s="123" t="s">
        <v>74</v>
      </c>
      <c r="F16" s="124">
        <v>107313</v>
      </c>
      <c r="G16" s="125"/>
      <c r="H16" s="123">
        <v>44247.986805555556</v>
      </c>
      <c r="I16" s="123">
        <v>44248.095138888886</v>
      </c>
      <c r="J16" s="153">
        <f>(I16-H16)*24</f>
        <v>2.5999999999185093</v>
      </c>
      <c r="K16" s="153">
        <f>(I16-H16)*24</f>
        <v>2.5999999999185093</v>
      </c>
      <c r="L16" s="126" t="s">
        <v>22</v>
      </c>
      <c r="M16" s="127" t="s">
        <v>22</v>
      </c>
      <c r="N16" s="127" t="s">
        <v>22</v>
      </c>
      <c r="O16" s="128" t="s">
        <v>17</v>
      </c>
      <c r="P16" s="123"/>
      <c r="Q16" s="129">
        <f t="shared" si="0"/>
        <v>1</v>
      </c>
      <c r="R16" s="129">
        <f t="shared" si="1"/>
      </c>
      <c r="S16" s="129">
        <f t="shared" si="2"/>
      </c>
      <c r="T16" s="130">
        <f t="shared" si="3"/>
        <v>1</v>
      </c>
      <c r="U16" s="117"/>
      <c r="V16" s="117"/>
      <c r="W16" s="117"/>
    </row>
    <row r="17" spans="1:23" s="132" customFormat="1" ht="12.75">
      <c r="A17" s="133">
        <v>9</v>
      </c>
      <c r="B17" s="134">
        <v>44248.095138888886</v>
      </c>
      <c r="C17" s="158">
        <v>44248.93680555555</v>
      </c>
      <c r="D17" s="135">
        <f>(C17-B17)*24</f>
        <v>20.20000000001164</v>
      </c>
      <c r="E17" s="134" t="s">
        <v>74</v>
      </c>
      <c r="F17" s="136">
        <v>107318</v>
      </c>
      <c r="G17" s="137"/>
      <c r="H17" s="158">
        <v>44248.93680555555</v>
      </c>
      <c r="I17" s="134">
        <v>44249.02847222222</v>
      </c>
      <c r="J17" s="135">
        <f>(I17-H17)*24</f>
        <v>2.2000000000116415</v>
      </c>
      <c r="K17" s="135">
        <f>(I17-H17)*24</f>
        <v>2.2000000000116415</v>
      </c>
      <c r="L17" s="138" t="s">
        <v>22</v>
      </c>
      <c r="M17" s="139" t="s">
        <v>22</v>
      </c>
      <c r="N17" s="139" t="s">
        <v>22</v>
      </c>
      <c r="O17" s="140" t="s">
        <v>17</v>
      </c>
      <c r="P17" s="134"/>
      <c r="Q17" s="129">
        <f t="shared" si="0"/>
        <v>1</v>
      </c>
      <c r="R17" s="129">
        <f t="shared" si="1"/>
      </c>
      <c r="S17" s="129">
        <f t="shared" si="2"/>
      </c>
      <c r="T17" s="130">
        <f aca="true" t="shared" si="4" ref="T17:T23">SUM(Q17:S17)</f>
        <v>1</v>
      </c>
      <c r="U17" s="131"/>
      <c r="V17" s="131"/>
      <c r="W17" s="131"/>
    </row>
    <row r="18" spans="1:23" s="118" customFormat="1" ht="15.75" customHeight="1">
      <c r="A18" s="122">
        <v>10</v>
      </c>
      <c r="B18" s="123">
        <v>44249.02847222222</v>
      </c>
      <c r="C18" s="123">
        <v>44249.333333333336</v>
      </c>
      <c r="D18" s="153">
        <f>(C18-B18)*24</f>
        <v>7.31666666676756</v>
      </c>
      <c r="E18" s="123" t="s">
        <v>67</v>
      </c>
      <c r="F18" s="124"/>
      <c r="G18" s="125"/>
      <c r="H18" s="123"/>
      <c r="I18" s="123"/>
      <c r="J18" s="153">
        <f>(I18-H18)*24</f>
        <v>0</v>
      </c>
      <c r="K18" s="153">
        <f>(I18-H18)*24</f>
        <v>0</v>
      </c>
      <c r="L18" s="126"/>
      <c r="M18" s="127"/>
      <c r="N18" s="127"/>
      <c r="O18" s="128" t="s">
        <v>21</v>
      </c>
      <c r="P18" s="123"/>
      <c r="Q18" s="129">
        <f t="shared" si="0"/>
      </c>
      <c r="R18" s="129">
        <f t="shared" si="1"/>
        <v>1</v>
      </c>
      <c r="S18" s="129">
        <f t="shared" si="2"/>
      </c>
      <c r="T18" s="130">
        <f t="shared" si="4"/>
        <v>1</v>
      </c>
      <c r="U18" s="117"/>
      <c r="V18" s="117"/>
      <c r="W18" s="117"/>
    </row>
    <row r="19" spans="1:23" s="152" customFormat="1" ht="12.75">
      <c r="A19" s="141"/>
      <c r="B19" s="142"/>
      <c r="C19" s="142"/>
      <c r="D19" s="143">
        <f>SUM(D14:D18)</f>
        <v>131.93333333329065</v>
      </c>
      <c r="E19" s="144"/>
      <c r="F19" s="145"/>
      <c r="G19" s="146"/>
      <c r="H19" s="147"/>
      <c r="I19" s="147"/>
      <c r="J19" s="148">
        <f>SUM(J14:J18)</f>
        <v>12.066666666709352</v>
      </c>
      <c r="K19" s="148">
        <f>SUM(K14:K18)</f>
        <v>12.066666666709352</v>
      </c>
      <c r="L19" s="149"/>
      <c r="M19" s="150"/>
      <c r="N19" s="150"/>
      <c r="O19" s="151"/>
      <c r="P19" s="144"/>
      <c r="Q19" s="129">
        <f t="shared" si="0"/>
      </c>
      <c r="R19" s="129">
        <f t="shared" si="1"/>
      </c>
      <c r="S19" s="129">
        <f t="shared" si="2"/>
      </c>
      <c r="T19" s="130">
        <f t="shared" si="4"/>
        <v>0</v>
      </c>
      <c r="U19" s="30"/>
      <c r="V19" s="30"/>
      <c r="W19" s="30"/>
    </row>
    <row r="20" spans="1:23" s="118" customFormat="1" ht="15.75" customHeight="1">
      <c r="A20" s="122">
        <v>11</v>
      </c>
      <c r="B20" s="123">
        <v>44250.333333333336</v>
      </c>
      <c r="C20" s="123">
        <v>44254.05972222222</v>
      </c>
      <c r="D20" s="153">
        <f>(C20-B20)*24</f>
        <v>89.43333333323244</v>
      </c>
      <c r="E20" s="123" t="s">
        <v>76</v>
      </c>
      <c r="F20" s="124">
        <v>107321</v>
      </c>
      <c r="G20" s="125"/>
      <c r="H20" s="123">
        <v>44254.05972222222</v>
      </c>
      <c r="I20" s="123">
        <v>44254.268055555556</v>
      </c>
      <c r="J20" s="153">
        <f>(I20-H20)*24</f>
        <v>5.000000000058208</v>
      </c>
      <c r="K20" s="153">
        <f>(I20-H20)*24</f>
        <v>5.000000000058208</v>
      </c>
      <c r="L20" s="126" t="s">
        <v>22</v>
      </c>
      <c r="M20" s="127" t="s">
        <v>22</v>
      </c>
      <c r="N20" s="127" t="s">
        <v>22</v>
      </c>
      <c r="O20" s="128" t="s">
        <v>17</v>
      </c>
      <c r="P20" s="123" t="s">
        <v>75</v>
      </c>
      <c r="Q20" s="129">
        <f t="shared" si="0"/>
        <v>1</v>
      </c>
      <c r="R20" s="129">
        <f t="shared" si="1"/>
      </c>
      <c r="S20" s="129">
        <f t="shared" si="2"/>
      </c>
      <c r="T20" s="130">
        <f t="shared" si="4"/>
        <v>1</v>
      </c>
      <c r="U20" s="117"/>
      <c r="V20" s="117"/>
      <c r="W20" s="117"/>
    </row>
    <row r="21" spans="1:23" s="132" customFormat="1" ht="12.75">
      <c r="A21" s="133">
        <v>12</v>
      </c>
      <c r="B21" s="134">
        <v>44254.268055555556</v>
      </c>
      <c r="C21" s="158">
        <v>44255.55694444444</v>
      </c>
      <c r="D21" s="135">
        <f>(C21-B21)*24</f>
        <v>30.93333333323244</v>
      </c>
      <c r="E21" s="134" t="s">
        <v>77</v>
      </c>
      <c r="F21" s="136">
        <v>107324</v>
      </c>
      <c r="G21" s="137"/>
      <c r="H21" s="158">
        <v>44255.55694444444</v>
      </c>
      <c r="I21" s="134">
        <v>44255.76458333333</v>
      </c>
      <c r="J21" s="135">
        <f>(I21-H21)*24</f>
        <v>4.983333333337214</v>
      </c>
      <c r="K21" s="135"/>
      <c r="L21" s="138"/>
      <c r="M21" s="139"/>
      <c r="N21" s="139"/>
      <c r="P21" s="134"/>
      <c r="Q21" s="129">
        <f t="shared" si="0"/>
      </c>
      <c r="R21" s="129">
        <f t="shared" si="1"/>
      </c>
      <c r="S21" s="129">
        <f t="shared" si="2"/>
      </c>
      <c r="T21" s="130">
        <f t="shared" si="4"/>
        <v>0</v>
      </c>
      <c r="U21" s="131"/>
      <c r="V21" s="131"/>
      <c r="W21" s="131"/>
    </row>
    <row r="22" spans="1:23" s="132" customFormat="1" ht="12.75">
      <c r="A22" s="133"/>
      <c r="B22" s="134"/>
      <c r="C22" s="190"/>
      <c r="D22" s="135"/>
      <c r="E22" s="134"/>
      <c r="F22" s="136"/>
      <c r="G22" s="137"/>
      <c r="H22" s="178">
        <v>44255.55694444444</v>
      </c>
      <c r="I22" s="179">
        <v>44255.71875</v>
      </c>
      <c r="J22" s="180"/>
      <c r="K22" s="180">
        <f>(I22-H22)*24</f>
        <v>3.8833333334187046</v>
      </c>
      <c r="L22" s="181" t="s">
        <v>23</v>
      </c>
      <c r="M22" s="182" t="s">
        <v>23</v>
      </c>
      <c r="N22" s="182" t="s">
        <v>23</v>
      </c>
      <c r="O22" s="183" t="s">
        <v>17</v>
      </c>
      <c r="P22" s="179"/>
      <c r="Q22" s="129">
        <f t="shared" si="0"/>
        <v>1</v>
      </c>
      <c r="R22" s="129">
        <f t="shared" si="1"/>
      </c>
      <c r="S22" s="129">
        <f t="shared" si="2"/>
      </c>
      <c r="T22" s="130">
        <f t="shared" si="4"/>
        <v>1</v>
      </c>
      <c r="U22" s="131"/>
      <c r="V22" s="131"/>
      <c r="W22" s="131"/>
    </row>
    <row r="23" spans="1:23" s="132" customFormat="1" ht="12.75">
      <c r="A23" s="133"/>
      <c r="B23" s="134"/>
      <c r="C23" s="190"/>
      <c r="D23" s="135"/>
      <c r="E23" s="134"/>
      <c r="F23" s="136"/>
      <c r="G23" s="137"/>
      <c r="H23" s="184">
        <v>44255.71875</v>
      </c>
      <c r="I23" s="185">
        <v>44255.76458333333</v>
      </c>
      <c r="J23" s="186"/>
      <c r="K23" s="186">
        <f>(I23-H23)*24</f>
        <v>1.0999999999185093</v>
      </c>
      <c r="L23" s="187" t="s">
        <v>22</v>
      </c>
      <c r="M23" s="188" t="s">
        <v>22</v>
      </c>
      <c r="N23" s="188" t="s">
        <v>22</v>
      </c>
      <c r="O23" s="189" t="s">
        <v>66</v>
      </c>
      <c r="P23" s="185"/>
      <c r="Q23" s="129">
        <f t="shared" si="0"/>
      </c>
      <c r="R23" s="129">
        <f t="shared" si="1"/>
      </c>
      <c r="S23" s="129">
        <f t="shared" si="2"/>
        <v>1</v>
      </c>
      <c r="T23" s="130">
        <f t="shared" si="4"/>
        <v>1</v>
      </c>
      <c r="U23" s="131"/>
      <c r="V23" s="131"/>
      <c r="W23" s="131"/>
    </row>
    <row r="24" spans="1:23" s="118" customFormat="1" ht="15.75" customHeight="1">
      <c r="A24" s="122">
        <v>14</v>
      </c>
      <c r="B24" s="123">
        <v>44255.76458333333</v>
      </c>
      <c r="C24" s="123">
        <v>44256.333333333336</v>
      </c>
      <c r="D24" s="153">
        <f>(C24-B24)*24</f>
        <v>13.650000000139698</v>
      </c>
      <c r="E24" s="123" t="s">
        <v>67</v>
      </c>
      <c r="F24" s="124"/>
      <c r="G24" s="125"/>
      <c r="H24" s="123"/>
      <c r="I24" s="123"/>
      <c r="J24" s="153">
        <f>(I24-H24)*24</f>
        <v>0</v>
      </c>
      <c r="K24" s="153">
        <f>(I24-H24)*24</f>
        <v>0</v>
      </c>
      <c r="L24" s="126"/>
      <c r="M24" s="127"/>
      <c r="N24" s="127"/>
      <c r="O24" s="128" t="s">
        <v>21</v>
      </c>
      <c r="P24" s="123"/>
      <c r="Q24" s="129">
        <f t="shared" si="0"/>
      </c>
      <c r="R24" s="129">
        <f t="shared" si="1"/>
        <v>1</v>
      </c>
      <c r="S24" s="129">
        <f t="shared" si="2"/>
      </c>
      <c r="T24" s="130">
        <f aca="true" t="shared" si="5" ref="T24:T44">SUM(Q24:S24)</f>
        <v>1</v>
      </c>
      <c r="U24" s="117"/>
      <c r="V24" s="117"/>
      <c r="W24" s="117"/>
    </row>
    <row r="25" spans="1:23" s="152" customFormat="1" ht="12.75">
      <c r="A25" s="141"/>
      <c r="B25" s="142"/>
      <c r="C25" s="142"/>
      <c r="D25" s="143">
        <f>SUM(D20:D24)</f>
        <v>134.01666666660458</v>
      </c>
      <c r="E25" s="144"/>
      <c r="F25" s="145"/>
      <c r="G25" s="146"/>
      <c r="H25" s="147"/>
      <c r="I25" s="147"/>
      <c r="J25" s="148">
        <f>SUM(J20:J24)</f>
        <v>9.983333333395422</v>
      </c>
      <c r="K25" s="148">
        <f>SUM(K20:K24)</f>
        <v>9.983333333395422</v>
      </c>
      <c r="L25" s="149"/>
      <c r="M25" s="150"/>
      <c r="N25" s="150"/>
      <c r="O25" s="151"/>
      <c r="P25" s="144"/>
      <c r="Q25" s="129">
        <f t="shared" si="0"/>
      </c>
      <c r="R25" s="129">
        <f t="shared" si="1"/>
      </c>
      <c r="S25" s="129">
        <f t="shared" si="2"/>
      </c>
      <c r="T25" s="130">
        <f t="shared" si="5"/>
        <v>0</v>
      </c>
      <c r="U25" s="30"/>
      <c r="V25" s="30"/>
      <c r="W25" s="30"/>
    </row>
    <row r="26" spans="1:23" s="118" customFormat="1" ht="15.75" customHeight="1">
      <c r="A26" s="122">
        <v>15</v>
      </c>
      <c r="B26" s="123">
        <v>44257.333333333336</v>
      </c>
      <c r="C26" s="123">
        <v>44257.86875</v>
      </c>
      <c r="D26" s="153">
        <f>(C26-B26)*24</f>
        <v>12.849999999976717</v>
      </c>
      <c r="E26" s="123" t="s">
        <v>78</v>
      </c>
      <c r="F26" s="124">
        <v>107326</v>
      </c>
      <c r="G26" s="125"/>
      <c r="H26" s="123">
        <v>44257.86875</v>
      </c>
      <c r="I26" s="123">
        <v>44257.88958333333</v>
      </c>
      <c r="J26" s="153">
        <f>(I26-H26)*24</f>
        <v>0.4999999998835847</v>
      </c>
      <c r="K26" s="153">
        <f>(I26-H26)*24</f>
        <v>0.4999999998835847</v>
      </c>
      <c r="L26" s="126" t="s">
        <v>23</v>
      </c>
      <c r="M26" s="127" t="s">
        <v>23</v>
      </c>
      <c r="N26" s="127" t="s">
        <v>23</v>
      </c>
      <c r="O26" s="128" t="s">
        <v>17</v>
      </c>
      <c r="P26" s="123"/>
      <c r="Q26" s="129">
        <f t="shared" si="0"/>
        <v>1</v>
      </c>
      <c r="R26" s="129">
        <f t="shared" si="1"/>
      </c>
      <c r="S26" s="129">
        <f t="shared" si="2"/>
      </c>
      <c r="T26" s="130">
        <f t="shared" si="5"/>
        <v>1</v>
      </c>
      <c r="U26" s="117"/>
      <c r="V26" s="117"/>
      <c r="W26" s="117"/>
    </row>
    <row r="27" spans="1:23" s="132" customFormat="1" ht="12.75">
      <c r="A27" s="133">
        <v>16</v>
      </c>
      <c r="B27" s="134">
        <v>44257.88958333333</v>
      </c>
      <c r="C27" s="158">
        <v>44258.57152777778</v>
      </c>
      <c r="D27" s="135">
        <f>(C27-B27)*24</f>
        <v>16.36666666675592</v>
      </c>
      <c r="E27" s="134" t="s">
        <v>79</v>
      </c>
      <c r="F27" s="136">
        <v>107327</v>
      </c>
      <c r="G27" s="137"/>
      <c r="H27" s="158">
        <v>44258.57152777778</v>
      </c>
      <c r="I27" s="134">
        <v>44258.61666666667</v>
      </c>
      <c r="J27" s="135">
        <f>(I27-H27)*24</f>
        <v>1.0833333333721384</v>
      </c>
      <c r="K27" s="135">
        <f>(I27-H27)*24</f>
        <v>1.0833333333721384</v>
      </c>
      <c r="L27" s="138" t="s">
        <v>22</v>
      </c>
      <c r="M27" s="139" t="s">
        <v>22</v>
      </c>
      <c r="N27" s="139" t="s">
        <v>22</v>
      </c>
      <c r="O27" s="140" t="s">
        <v>17</v>
      </c>
      <c r="P27" s="134"/>
      <c r="Q27" s="129">
        <f t="shared" si="0"/>
        <v>1</v>
      </c>
      <c r="R27" s="129">
        <f t="shared" si="1"/>
      </c>
      <c r="S27" s="129">
        <f t="shared" si="2"/>
      </c>
      <c r="T27" s="130">
        <f t="shared" si="5"/>
        <v>1</v>
      </c>
      <c r="U27" s="131"/>
      <c r="V27" s="131"/>
      <c r="W27" s="131"/>
    </row>
    <row r="28" spans="1:23" s="118" customFormat="1" ht="15.75" customHeight="1">
      <c r="A28" s="122">
        <v>17</v>
      </c>
      <c r="B28" s="123">
        <v>44258.61666666667</v>
      </c>
      <c r="C28" s="123">
        <v>44263.333333333336</v>
      </c>
      <c r="D28" s="153">
        <f>(C28-B28)*24</f>
        <v>113.20000000001164</v>
      </c>
      <c r="E28" s="123" t="s">
        <v>67</v>
      </c>
      <c r="F28" s="124"/>
      <c r="G28" s="125"/>
      <c r="H28" s="123"/>
      <c r="I28" s="123"/>
      <c r="J28" s="153">
        <f>(I28-H28)*24</f>
        <v>0</v>
      </c>
      <c r="K28" s="153">
        <f>(I28-H28)*24</f>
        <v>0</v>
      </c>
      <c r="L28" s="126"/>
      <c r="M28" s="127"/>
      <c r="N28" s="127"/>
      <c r="O28" s="128" t="s">
        <v>21</v>
      </c>
      <c r="P28" s="123"/>
      <c r="Q28" s="129">
        <f t="shared" si="0"/>
      </c>
      <c r="R28" s="129">
        <f t="shared" si="1"/>
        <v>1</v>
      </c>
      <c r="S28" s="129">
        <f t="shared" si="2"/>
      </c>
      <c r="T28" s="130">
        <f t="shared" si="5"/>
        <v>1</v>
      </c>
      <c r="U28" s="117"/>
      <c r="V28" s="117"/>
      <c r="W28" s="117"/>
    </row>
    <row r="29" spans="1:23" s="152" customFormat="1" ht="12.75">
      <c r="A29" s="141"/>
      <c r="B29" s="142"/>
      <c r="C29" s="142"/>
      <c r="D29" s="143">
        <f>SUM(D26:D28)</f>
        <v>142.41666666674428</v>
      </c>
      <c r="E29" s="144"/>
      <c r="F29" s="145"/>
      <c r="G29" s="146"/>
      <c r="H29" s="147"/>
      <c r="I29" s="147"/>
      <c r="J29" s="148">
        <f>SUM(J26:J28)</f>
        <v>1.5833333332557231</v>
      </c>
      <c r="K29" s="148">
        <f>SUM(K26:K28)</f>
        <v>1.5833333332557231</v>
      </c>
      <c r="L29" s="149"/>
      <c r="M29" s="150"/>
      <c r="N29" s="150"/>
      <c r="O29" s="151"/>
      <c r="P29" s="144"/>
      <c r="Q29" s="129">
        <f t="shared" si="0"/>
      </c>
      <c r="R29" s="129">
        <f t="shared" si="1"/>
      </c>
      <c r="S29" s="129">
        <f t="shared" si="2"/>
      </c>
      <c r="T29" s="130">
        <f t="shared" si="5"/>
        <v>0</v>
      </c>
      <c r="U29" s="30"/>
      <c r="V29" s="30"/>
      <c r="W29" s="30"/>
    </row>
    <row r="30" spans="1:23" s="118" customFormat="1" ht="15.75" customHeight="1">
      <c r="A30" s="122">
        <v>18</v>
      </c>
      <c r="B30" s="123">
        <v>44265.333333333336</v>
      </c>
      <c r="C30" s="123">
        <v>44265.55</v>
      </c>
      <c r="D30" s="153">
        <f>(C30-B30)*24</f>
        <v>5.2000000000116415</v>
      </c>
      <c r="E30" s="123" t="s">
        <v>80</v>
      </c>
      <c r="F30" s="124">
        <v>107328</v>
      </c>
      <c r="G30" s="125"/>
      <c r="H30" s="123">
        <v>44265.55</v>
      </c>
      <c r="I30" s="123">
        <v>44265.584027777775</v>
      </c>
      <c r="J30" s="153">
        <f>(I30-H30)*24</f>
        <v>0.8166666665347293</v>
      </c>
      <c r="K30" s="153">
        <f>(I30-H30)*24</f>
        <v>0.8166666665347293</v>
      </c>
      <c r="L30" s="126" t="s">
        <v>23</v>
      </c>
      <c r="M30" s="127" t="s">
        <v>23</v>
      </c>
      <c r="N30" s="127" t="s">
        <v>23</v>
      </c>
      <c r="O30" s="128" t="s">
        <v>17</v>
      </c>
      <c r="P30" s="123"/>
      <c r="Q30" s="129">
        <f t="shared" si="0"/>
        <v>1</v>
      </c>
      <c r="R30" s="129">
        <f t="shared" si="1"/>
      </c>
      <c r="S30" s="129">
        <f t="shared" si="2"/>
      </c>
      <c r="T30" s="130">
        <f t="shared" si="5"/>
        <v>1</v>
      </c>
      <c r="U30" s="117"/>
      <c r="V30" s="117"/>
      <c r="W30" s="117"/>
    </row>
    <row r="31" spans="1:23" s="132" customFormat="1" ht="12.75">
      <c r="A31" s="133">
        <v>19</v>
      </c>
      <c r="B31" s="134">
        <v>44265.584027777775</v>
      </c>
      <c r="C31" s="158">
        <v>44269.87847222222</v>
      </c>
      <c r="D31" s="135">
        <f>(C31-B31)*24-1</f>
        <v>102.06666666665114</v>
      </c>
      <c r="E31" s="134" t="s">
        <v>81</v>
      </c>
      <c r="F31" s="136">
        <v>107330</v>
      </c>
      <c r="G31" s="137"/>
      <c r="H31" s="158">
        <v>44269.87847222222</v>
      </c>
      <c r="I31" s="134">
        <v>44269.92361111111</v>
      </c>
      <c r="J31" s="135">
        <f>(I31-H31)*24</f>
        <v>1.0833333333721384</v>
      </c>
      <c r="K31" s="135">
        <f>(I31-H31)*24</f>
        <v>1.0833333333721384</v>
      </c>
      <c r="L31" s="138" t="s">
        <v>23</v>
      </c>
      <c r="M31" s="139" t="s">
        <v>23</v>
      </c>
      <c r="N31" s="139" t="s">
        <v>23</v>
      </c>
      <c r="O31" s="140" t="s">
        <v>17</v>
      </c>
      <c r="P31" s="134"/>
      <c r="Q31" s="129">
        <f t="shared" si="0"/>
        <v>1</v>
      </c>
      <c r="R31" s="129">
        <f t="shared" si="1"/>
      </c>
      <c r="S31" s="129">
        <f t="shared" si="2"/>
      </c>
      <c r="T31" s="130">
        <f t="shared" si="5"/>
        <v>1</v>
      </c>
      <c r="U31" s="131"/>
      <c r="V31" s="131"/>
      <c r="W31" s="131"/>
    </row>
    <row r="32" spans="1:23" s="118" customFormat="1" ht="15.75" customHeight="1">
      <c r="A32" s="122">
        <v>20</v>
      </c>
      <c r="B32" s="123">
        <v>44269.92361111111</v>
      </c>
      <c r="C32" s="123">
        <v>44270.333333333336</v>
      </c>
      <c r="D32" s="153">
        <f>(C32-B32)*24</f>
        <v>9.833333333430346</v>
      </c>
      <c r="E32" s="123" t="s">
        <v>67</v>
      </c>
      <c r="F32" s="124"/>
      <c r="G32" s="125"/>
      <c r="H32" s="123"/>
      <c r="I32" s="123"/>
      <c r="J32" s="153">
        <f>(I32-H32)*24</f>
        <v>0</v>
      </c>
      <c r="K32" s="153">
        <f>(I32-H32)*24</f>
        <v>0</v>
      </c>
      <c r="L32" s="126"/>
      <c r="M32" s="127"/>
      <c r="N32" s="127"/>
      <c r="O32" s="128" t="s">
        <v>21</v>
      </c>
      <c r="P32" s="123"/>
      <c r="Q32" s="129">
        <f t="shared" si="0"/>
      </c>
      <c r="R32" s="129">
        <f t="shared" si="1"/>
        <v>1</v>
      </c>
      <c r="S32" s="129">
        <f t="shared" si="2"/>
      </c>
      <c r="T32" s="130">
        <f t="shared" si="5"/>
        <v>1</v>
      </c>
      <c r="U32" s="117"/>
      <c r="V32" s="117"/>
      <c r="W32" s="117"/>
    </row>
    <row r="33" spans="1:23" s="152" customFormat="1" ht="12.75">
      <c r="A33" s="141"/>
      <c r="B33" s="142"/>
      <c r="C33" s="142"/>
      <c r="D33" s="143">
        <f>SUM(D30:D32)</f>
        <v>117.10000000009313</v>
      </c>
      <c r="E33" s="144"/>
      <c r="F33" s="145"/>
      <c r="G33" s="146"/>
      <c r="H33" s="147"/>
      <c r="I33" s="147"/>
      <c r="J33" s="148">
        <f>SUM(J30:J32)</f>
        <v>1.8999999999068677</v>
      </c>
      <c r="K33" s="148">
        <f>SUM(K30:K32)</f>
        <v>1.8999999999068677</v>
      </c>
      <c r="L33" s="149"/>
      <c r="M33" s="150"/>
      <c r="N33" s="150"/>
      <c r="O33" s="151"/>
      <c r="P33" s="144"/>
      <c r="Q33" s="129">
        <f t="shared" si="0"/>
      </c>
      <c r="R33" s="129">
        <f t="shared" si="1"/>
      </c>
      <c r="S33" s="129">
        <f t="shared" si="2"/>
      </c>
      <c r="T33" s="130">
        <f t="shared" si="5"/>
        <v>0</v>
      </c>
      <c r="U33" s="30"/>
      <c r="V33" s="30"/>
      <c r="W33" s="30"/>
    </row>
    <row r="34" spans="1:23" s="132" customFormat="1" ht="12.75">
      <c r="A34" s="133">
        <v>21</v>
      </c>
      <c r="B34" s="134">
        <v>44271.333333333336</v>
      </c>
      <c r="C34" s="158">
        <v>44273.44583333333</v>
      </c>
      <c r="D34" s="135">
        <f>(C34-B34)*24</f>
        <v>50.699999999895226</v>
      </c>
      <c r="E34" s="134" t="s">
        <v>73</v>
      </c>
      <c r="F34" s="136">
        <v>107332</v>
      </c>
      <c r="G34" s="137"/>
      <c r="H34" s="158">
        <v>44273.44583333333</v>
      </c>
      <c r="I34" s="134">
        <v>44273.55347222222</v>
      </c>
      <c r="J34" s="135">
        <f>(I34-H34)*24</f>
        <v>2.5833333333721384</v>
      </c>
      <c r="K34" s="135">
        <f>(I34-H34)*24</f>
        <v>2.5833333333721384</v>
      </c>
      <c r="L34" s="138" t="s">
        <v>23</v>
      </c>
      <c r="M34" s="139" t="s">
        <v>23</v>
      </c>
      <c r="N34" s="139" t="s">
        <v>23</v>
      </c>
      <c r="O34" s="140" t="s">
        <v>17</v>
      </c>
      <c r="P34" s="134"/>
      <c r="Q34" s="129">
        <f t="shared" si="0"/>
        <v>1</v>
      </c>
      <c r="R34" s="129">
        <f t="shared" si="1"/>
      </c>
      <c r="S34" s="129">
        <f t="shared" si="2"/>
      </c>
      <c r="T34" s="130">
        <f t="shared" si="5"/>
        <v>1</v>
      </c>
      <c r="U34" s="131"/>
      <c r="V34" s="131"/>
      <c r="W34" s="131"/>
    </row>
    <row r="35" spans="1:23" s="118" customFormat="1" ht="15.75" customHeight="1">
      <c r="A35" s="122">
        <v>22</v>
      </c>
      <c r="B35" s="123">
        <v>44273.55347222222</v>
      </c>
      <c r="C35" s="123">
        <v>44277.333333333336</v>
      </c>
      <c r="D35" s="153">
        <f>(C35-B35)*24</f>
        <v>90.71666666673264</v>
      </c>
      <c r="E35" s="123" t="s">
        <v>67</v>
      </c>
      <c r="F35" s="124"/>
      <c r="G35" s="125"/>
      <c r="H35" s="123"/>
      <c r="I35" s="123"/>
      <c r="J35" s="153">
        <f>(I35-H35)*24</f>
        <v>0</v>
      </c>
      <c r="K35" s="153">
        <f>(I35-H35)*24</f>
        <v>0</v>
      </c>
      <c r="L35" s="126"/>
      <c r="M35" s="127"/>
      <c r="N35" s="127"/>
      <c r="O35" s="128" t="s">
        <v>21</v>
      </c>
      <c r="P35" s="123"/>
      <c r="Q35" s="129">
        <f t="shared" si="0"/>
      </c>
      <c r="R35" s="129">
        <f t="shared" si="1"/>
        <v>1</v>
      </c>
      <c r="S35" s="129">
        <f t="shared" si="2"/>
      </c>
      <c r="T35" s="130">
        <f t="shared" si="5"/>
        <v>1</v>
      </c>
      <c r="U35" s="117"/>
      <c r="V35" s="117"/>
      <c r="W35" s="117"/>
    </row>
    <row r="36" spans="1:23" s="152" customFormat="1" ht="12.75">
      <c r="A36" s="141"/>
      <c r="B36" s="142"/>
      <c r="C36" s="142"/>
      <c r="D36" s="143">
        <f>SUM(D34:D35)</f>
        <v>141.41666666662786</v>
      </c>
      <c r="E36" s="144"/>
      <c r="F36" s="145"/>
      <c r="G36" s="146"/>
      <c r="H36" s="147"/>
      <c r="I36" s="147"/>
      <c r="J36" s="148">
        <f>SUM(J34:J35)</f>
        <v>2.5833333333721384</v>
      </c>
      <c r="K36" s="148">
        <f>SUM(K34:K35)</f>
        <v>2.5833333333721384</v>
      </c>
      <c r="L36" s="149"/>
      <c r="M36" s="150"/>
      <c r="N36" s="150"/>
      <c r="O36" s="151"/>
      <c r="P36" s="144"/>
      <c r="Q36" s="129">
        <f t="shared" si="0"/>
      </c>
      <c r="R36" s="129">
        <f t="shared" si="1"/>
      </c>
      <c r="S36" s="129">
        <f t="shared" si="2"/>
      </c>
      <c r="T36" s="130">
        <f t="shared" si="5"/>
        <v>0</v>
      </c>
      <c r="U36" s="30"/>
      <c r="V36" s="30"/>
      <c r="W36" s="30"/>
    </row>
    <row r="37" spans="1:23" s="132" customFormat="1" ht="12.75">
      <c r="A37" s="133">
        <v>23</v>
      </c>
      <c r="B37" s="134">
        <v>44278.333333333336</v>
      </c>
      <c r="C37" s="158">
        <v>44279.80763888889</v>
      </c>
      <c r="D37" s="135">
        <f>(C37-B37)*24</f>
        <v>35.38333333324408</v>
      </c>
      <c r="E37" s="134" t="s">
        <v>82</v>
      </c>
      <c r="F37" s="136">
        <v>107339</v>
      </c>
      <c r="G37" s="137"/>
      <c r="H37" s="158">
        <v>44279.80763888889</v>
      </c>
      <c r="I37" s="134">
        <v>44279.854166666664</v>
      </c>
      <c r="J37" s="135">
        <f>(I37-H37)*24</f>
        <v>1.116666666639503</v>
      </c>
      <c r="K37" s="135">
        <f>(I37-H37)*24</f>
        <v>1.116666666639503</v>
      </c>
      <c r="L37" s="138" t="s">
        <v>24</v>
      </c>
      <c r="M37" s="139" t="s">
        <v>24</v>
      </c>
      <c r="N37" s="139" t="s">
        <v>24</v>
      </c>
      <c r="O37" s="140" t="s">
        <v>17</v>
      </c>
      <c r="P37" s="134"/>
      <c r="Q37" s="129">
        <f t="shared" si="0"/>
        <v>1</v>
      </c>
      <c r="R37" s="129">
        <f t="shared" si="1"/>
      </c>
      <c r="S37" s="129">
        <f t="shared" si="2"/>
      </c>
      <c r="T37" s="130">
        <f t="shared" si="5"/>
        <v>1</v>
      </c>
      <c r="U37" s="131"/>
      <c r="V37" s="131"/>
      <c r="W37" s="131"/>
    </row>
    <row r="38" spans="1:23" s="118" customFormat="1" ht="15.75" customHeight="1">
      <c r="A38" s="122">
        <v>24</v>
      </c>
      <c r="B38" s="123">
        <v>44279.854166666664</v>
      </c>
      <c r="C38" s="123">
        <v>44284.333333333336</v>
      </c>
      <c r="D38" s="153">
        <f>(C38-B38)*24</f>
        <v>107.50000000011642</v>
      </c>
      <c r="E38" s="123" t="s">
        <v>67</v>
      </c>
      <c r="F38" s="124"/>
      <c r="G38" s="125"/>
      <c r="H38" s="123"/>
      <c r="I38" s="123"/>
      <c r="J38" s="153">
        <f>(I38-H38)*24</f>
        <v>0</v>
      </c>
      <c r="K38" s="153">
        <f>(I38-H38)*24</f>
        <v>0</v>
      </c>
      <c r="L38" s="126"/>
      <c r="M38" s="127"/>
      <c r="N38" s="127"/>
      <c r="O38" s="128" t="s">
        <v>21</v>
      </c>
      <c r="P38" s="123"/>
      <c r="Q38" s="129">
        <f t="shared" si="0"/>
      </c>
      <c r="R38" s="129">
        <f t="shared" si="1"/>
        <v>1</v>
      </c>
      <c r="S38" s="129">
        <f t="shared" si="2"/>
      </c>
      <c r="T38" s="130">
        <f t="shared" si="5"/>
        <v>1</v>
      </c>
      <c r="U38" s="117"/>
      <c r="V38" s="117"/>
      <c r="W38" s="117"/>
    </row>
    <row r="39" spans="1:23" s="152" customFormat="1" ht="12.75">
      <c r="A39" s="141"/>
      <c r="B39" s="142"/>
      <c r="C39" s="142"/>
      <c r="D39" s="143">
        <f>SUM(D37:D38)</f>
        <v>142.8833333333605</v>
      </c>
      <c r="E39" s="144"/>
      <c r="F39" s="145"/>
      <c r="G39" s="146"/>
      <c r="H39" s="147"/>
      <c r="I39" s="147"/>
      <c r="J39" s="148">
        <f>SUM(J37:J38)</f>
        <v>1.116666666639503</v>
      </c>
      <c r="K39" s="148">
        <f>SUM(K37:K38)</f>
        <v>1.116666666639503</v>
      </c>
      <c r="L39" s="149"/>
      <c r="M39" s="150"/>
      <c r="N39" s="150"/>
      <c r="O39" s="151"/>
      <c r="P39" s="144"/>
      <c r="Q39" s="129">
        <f t="shared" si="0"/>
      </c>
      <c r="R39" s="129">
        <f t="shared" si="1"/>
      </c>
      <c r="S39" s="129">
        <f t="shared" si="2"/>
      </c>
      <c r="T39" s="130">
        <f t="shared" si="5"/>
        <v>0</v>
      </c>
      <c r="U39" s="30"/>
      <c r="V39" s="30"/>
      <c r="W39" s="30"/>
    </row>
    <row r="40" spans="1:23" s="132" customFormat="1" ht="12.75">
      <c r="A40" s="133"/>
      <c r="B40" s="134"/>
      <c r="C40" s="158"/>
      <c r="D40" s="135">
        <f>(C40-B40)*24</f>
        <v>0</v>
      </c>
      <c r="E40" s="134"/>
      <c r="F40" s="136"/>
      <c r="G40" s="137"/>
      <c r="H40" s="158">
        <v>44285.333333333336</v>
      </c>
      <c r="I40" s="134">
        <v>44285.39722222222</v>
      </c>
      <c r="J40" s="135">
        <f>(I40-H40)*24</f>
        <v>1.5333333332673647</v>
      </c>
      <c r="K40" s="135">
        <f>(I40-H40)*24</f>
        <v>1.5333333332673647</v>
      </c>
      <c r="L40" s="138" t="s">
        <v>24</v>
      </c>
      <c r="M40" s="139" t="s">
        <v>24</v>
      </c>
      <c r="N40" s="139" t="s">
        <v>24</v>
      </c>
      <c r="O40" s="140" t="s">
        <v>66</v>
      </c>
      <c r="P40" s="134" t="s">
        <v>83</v>
      </c>
      <c r="Q40" s="129">
        <f t="shared" si="0"/>
      </c>
      <c r="R40" s="129">
        <f t="shared" si="1"/>
      </c>
      <c r="S40" s="129">
        <f t="shared" si="2"/>
        <v>1</v>
      </c>
      <c r="T40" s="130">
        <f t="shared" si="5"/>
        <v>1</v>
      </c>
      <c r="U40" s="131"/>
      <c r="V40" s="131"/>
      <c r="W40" s="131"/>
    </row>
    <row r="41" spans="1:23" s="118" customFormat="1" ht="15.75" customHeight="1">
      <c r="A41" s="122">
        <v>25</v>
      </c>
      <c r="B41" s="123">
        <v>44285.39722222222</v>
      </c>
      <c r="C41" s="123">
        <v>44286.67152777778</v>
      </c>
      <c r="D41" s="153">
        <f>(C41-B41)*24</f>
        <v>30.58333333331393</v>
      </c>
      <c r="E41" s="123" t="s">
        <v>84</v>
      </c>
      <c r="F41" s="124">
        <v>107340</v>
      </c>
      <c r="G41" s="125"/>
      <c r="H41" s="123">
        <v>44286.67152777778</v>
      </c>
      <c r="I41" s="123">
        <v>44286.77638888889</v>
      </c>
      <c r="J41" s="153">
        <f>(I41-H41)*24</f>
        <v>2.516666666662786</v>
      </c>
      <c r="K41" s="153">
        <f>(I41-H41)*24</f>
        <v>2.516666666662786</v>
      </c>
      <c r="L41" s="126" t="s">
        <v>22</v>
      </c>
      <c r="M41" s="127" t="s">
        <v>22</v>
      </c>
      <c r="N41" s="127" t="s">
        <v>22</v>
      </c>
      <c r="O41" s="128" t="s">
        <v>17</v>
      </c>
      <c r="P41" s="123"/>
      <c r="Q41" s="129">
        <f t="shared" si="0"/>
        <v>1</v>
      </c>
      <c r="R41" s="129">
        <f t="shared" si="1"/>
      </c>
      <c r="S41" s="129">
        <f t="shared" si="2"/>
      </c>
      <c r="T41" s="130">
        <f t="shared" si="5"/>
        <v>1</v>
      </c>
      <c r="U41" s="117"/>
      <c r="V41" s="117"/>
      <c r="W41" s="117"/>
    </row>
    <row r="42" spans="1:23" s="132" customFormat="1" ht="12.75">
      <c r="A42" s="133">
        <v>26</v>
      </c>
      <c r="B42" s="134">
        <v>44286.77638888889</v>
      </c>
      <c r="C42" s="158">
        <v>44289.66805555556</v>
      </c>
      <c r="D42" s="135">
        <f>(C42-B42)*24</f>
        <v>69.40000000008149</v>
      </c>
      <c r="E42" s="134" t="s">
        <v>85</v>
      </c>
      <c r="F42" s="136">
        <v>107342</v>
      </c>
      <c r="G42" s="137"/>
      <c r="H42" s="158">
        <v>44289.66805555556</v>
      </c>
      <c r="I42" s="134">
        <v>44289.74930555555</v>
      </c>
      <c r="J42" s="135">
        <f>(I42-H42)*24</f>
        <v>1.9499999998952262</v>
      </c>
      <c r="K42" s="135">
        <f>(I42-H42)*24</f>
        <v>1.9499999998952262</v>
      </c>
      <c r="L42" s="138" t="s">
        <v>86</v>
      </c>
      <c r="M42" s="139" t="s">
        <v>86</v>
      </c>
      <c r="N42" s="139" t="s">
        <v>86</v>
      </c>
      <c r="O42" s="140" t="s">
        <v>17</v>
      </c>
      <c r="P42" s="134"/>
      <c r="Q42" s="129">
        <f t="shared" si="0"/>
        <v>1</v>
      </c>
      <c r="R42" s="129">
        <f t="shared" si="1"/>
      </c>
      <c r="S42" s="129">
        <f t="shared" si="2"/>
      </c>
      <c r="T42" s="130">
        <f t="shared" si="5"/>
        <v>1</v>
      </c>
      <c r="U42" s="131"/>
      <c r="V42" s="131"/>
      <c r="W42" s="131"/>
    </row>
    <row r="43" spans="1:23" s="118" customFormat="1" ht="15.75" customHeight="1">
      <c r="A43" s="122">
        <v>27</v>
      </c>
      <c r="B43" s="123">
        <v>44289.74930555555</v>
      </c>
      <c r="C43" s="123">
        <v>44291.333333333336</v>
      </c>
      <c r="D43" s="153">
        <f>(C43-B43)*24</f>
        <v>38.0166666667792</v>
      </c>
      <c r="E43" s="123" t="s">
        <v>67</v>
      </c>
      <c r="F43" s="124"/>
      <c r="G43" s="125"/>
      <c r="H43" s="123"/>
      <c r="I43" s="123"/>
      <c r="J43" s="153">
        <f>(I43-H43)*24</f>
        <v>0</v>
      </c>
      <c r="K43" s="153">
        <f>(I43-H43)*24</f>
        <v>0</v>
      </c>
      <c r="L43" s="126"/>
      <c r="M43" s="127"/>
      <c r="N43" s="127"/>
      <c r="O43" s="128" t="s">
        <v>21</v>
      </c>
      <c r="P43" s="123"/>
      <c r="Q43" s="129">
        <f t="shared" si="0"/>
      </c>
      <c r="R43" s="129">
        <f t="shared" si="1"/>
        <v>1</v>
      </c>
      <c r="S43" s="129">
        <f t="shared" si="2"/>
      </c>
      <c r="T43" s="130">
        <f t="shared" si="5"/>
        <v>1</v>
      </c>
      <c r="U43" s="117"/>
      <c r="V43" s="117"/>
      <c r="W43" s="117"/>
    </row>
    <row r="44" spans="1:23" s="152" customFormat="1" ht="12.75">
      <c r="A44" s="141"/>
      <c r="B44" s="142"/>
      <c r="C44" s="142"/>
      <c r="D44" s="143">
        <f>SUM(D41:D43)</f>
        <v>138.00000000017462</v>
      </c>
      <c r="E44" s="144"/>
      <c r="F44" s="145"/>
      <c r="G44" s="146"/>
      <c r="H44" s="147"/>
      <c r="I44" s="147"/>
      <c r="J44" s="148">
        <f>SUM(J40:J43)</f>
        <v>5.999999999825377</v>
      </c>
      <c r="K44" s="148">
        <f>SUM(K40:K43)</f>
        <v>5.999999999825377</v>
      </c>
      <c r="L44" s="149"/>
      <c r="M44" s="150"/>
      <c r="N44" s="150"/>
      <c r="O44" s="151"/>
      <c r="P44" s="144"/>
      <c r="Q44" s="129">
        <f t="shared" si="0"/>
      </c>
      <c r="R44" s="129">
        <f t="shared" si="1"/>
      </c>
      <c r="S44" s="129">
        <f t="shared" si="2"/>
      </c>
      <c r="T44" s="130">
        <f t="shared" si="5"/>
        <v>0</v>
      </c>
      <c r="U44" s="30"/>
      <c r="V44" s="30"/>
      <c r="W44" s="30"/>
    </row>
    <row r="45" spans="1:23" s="132" customFormat="1" ht="12.75">
      <c r="A45" s="133">
        <v>28</v>
      </c>
      <c r="B45" s="134">
        <v>44292.333333333336</v>
      </c>
      <c r="C45" s="158">
        <v>44293.30486111111</v>
      </c>
      <c r="D45" s="135">
        <f>(C45-B45)*24</f>
        <v>23.31666666653473</v>
      </c>
      <c r="E45" s="134" t="s">
        <v>73</v>
      </c>
      <c r="F45" s="136">
        <v>107344</v>
      </c>
      <c r="G45" s="137"/>
      <c r="H45" s="158">
        <v>44293.30486111111</v>
      </c>
      <c r="I45" s="134">
        <v>44293.34166666667</v>
      </c>
      <c r="J45" s="135">
        <f>(I45-H45)*24</f>
        <v>0.8833333334187046</v>
      </c>
      <c r="K45" s="135">
        <f>(I45-H45)*24</f>
        <v>0.8833333334187046</v>
      </c>
      <c r="L45" s="138" t="s">
        <v>23</v>
      </c>
      <c r="M45" s="139" t="s">
        <v>23</v>
      </c>
      <c r="N45" s="139" t="s">
        <v>23</v>
      </c>
      <c r="O45" s="140" t="s">
        <v>17</v>
      </c>
      <c r="P45" s="134"/>
      <c r="Q45" s="129">
        <f t="shared" si="0"/>
        <v>1</v>
      </c>
      <c r="R45" s="129">
        <f t="shared" si="1"/>
      </c>
      <c r="S45" s="129">
        <f t="shared" si="2"/>
      </c>
      <c r="T45" s="130">
        <f aca="true" t="shared" si="6" ref="T45:T51">SUM(Q45:S45)</f>
        <v>1</v>
      </c>
      <c r="U45" s="131"/>
      <c r="V45" s="131"/>
      <c r="W45" s="131"/>
    </row>
    <row r="46" spans="1:23" s="118" customFormat="1" ht="15.75" customHeight="1">
      <c r="A46" s="122">
        <v>29</v>
      </c>
      <c r="B46" s="123">
        <v>44293.34166666667</v>
      </c>
      <c r="C46" s="123">
        <v>44298.333333333336</v>
      </c>
      <c r="D46" s="153">
        <f>(C46-B46)*24</f>
        <v>119.80000000004657</v>
      </c>
      <c r="E46" s="123" t="s">
        <v>67</v>
      </c>
      <c r="F46" s="124"/>
      <c r="G46" s="125"/>
      <c r="H46" s="123"/>
      <c r="I46" s="123"/>
      <c r="J46" s="153">
        <f>(I46-H46)*24</f>
        <v>0</v>
      </c>
      <c r="K46" s="153">
        <f>(I46-H46)*24</f>
        <v>0</v>
      </c>
      <c r="L46" s="126"/>
      <c r="M46" s="127"/>
      <c r="N46" s="127"/>
      <c r="O46" s="128" t="s">
        <v>21</v>
      </c>
      <c r="P46" s="123"/>
      <c r="Q46" s="129">
        <f t="shared" si="0"/>
      </c>
      <c r="R46" s="129">
        <f t="shared" si="1"/>
        <v>1</v>
      </c>
      <c r="S46" s="129">
        <f t="shared" si="2"/>
      </c>
      <c r="T46" s="130">
        <f t="shared" si="6"/>
        <v>1</v>
      </c>
      <c r="U46" s="117"/>
      <c r="V46" s="117"/>
      <c r="W46" s="117"/>
    </row>
    <row r="47" spans="1:23" s="152" customFormat="1" ht="12.75">
      <c r="A47" s="141"/>
      <c r="B47" s="142"/>
      <c r="C47" s="142"/>
      <c r="D47" s="143">
        <f>SUM(D45:D46)</f>
        <v>143.1166666665813</v>
      </c>
      <c r="E47" s="144"/>
      <c r="F47" s="145"/>
      <c r="G47" s="146"/>
      <c r="H47" s="147"/>
      <c r="I47" s="147"/>
      <c r="J47" s="148">
        <f>SUM(J45:J46)</f>
        <v>0.8833333334187046</v>
      </c>
      <c r="K47" s="148">
        <f>SUM(K45:K46)</f>
        <v>0.8833333334187046</v>
      </c>
      <c r="L47" s="149"/>
      <c r="M47" s="150"/>
      <c r="N47" s="150"/>
      <c r="O47" s="151"/>
      <c r="P47" s="144"/>
      <c r="Q47" s="129">
        <f t="shared" si="0"/>
      </c>
      <c r="R47" s="129">
        <f t="shared" si="1"/>
      </c>
      <c r="S47" s="129">
        <f t="shared" si="2"/>
      </c>
      <c r="T47" s="130">
        <f t="shared" si="6"/>
        <v>0</v>
      </c>
      <c r="U47" s="30"/>
      <c r="V47" s="30"/>
      <c r="W47" s="30"/>
    </row>
    <row r="48" spans="1:23" s="118" customFormat="1" ht="15.75" customHeight="1">
      <c r="A48" s="122">
        <v>30</v>
      </c>
      <c r="B48" s="123">
        <v>44299.333333333336</v>
      </c>
      <c r="C48" s="123">
        <v>44299.540972222225</v>
      </c>
      <c r="D48" s="153">
        <f>(C48-B48)*24</f>
        <v>4.983333333337214</v>
      </c>
      <c r="E48" s="123" t="s">
        <v>87</v>
      </c>
      <c r="F48" s="124">
        <v>107347</v>
      </c>
      <c r="G48" s="125"/>
      <c r="H48" s="123">
        <v>44299.540972222225</v>
      </c>
      <c r="I48" s="123">
        <v>44299.561111111114</v>
      </c>
      <c r="J48" s="153">
        <f>(I48-H48)*24</f>
        <v>0.48333333333721384</v>
      </c>
      <c r="K48" s="153">
        <f>(I48-H48)*24</f>
        <v>0.48333333333721384</v>
      </c>
      <c r="L48" s="126" t="s">
        <v>65</v>
      </c>
      <c r="M48" s="127" t="s">
        <v>65</v>
      </c>
      <c r="N48" s="127" t="s">
        <v>65</v>
      </c>
      <c r="O48" s="128" t="s">
        <v>17</v>
      </c>
      <c r="P48" s="123"/>
      <c r="Q48" s="129">
        <f t="shared" si="0"/>
        <v>1</v>
      </c>
      <c r="R48" s="129">
        <f t="shared" si="1"/>
      </c>
      <c r="S48" s="129">
        <f t="shared" si="2"/>
      </c>
      <c r="T48" s="130">
        <f t="shared" si="6"/>
        <v>1</v>
      </c>
      <c r="U48" s="117"/>
      <c r="V48" s="117"/>
      <c r="W48" s="117"/>
    </row>
    <row r="49" spans="1:23" s="132" customFormat="1" ht="12.75">
      <c r="A49" s="133">
        <v>31</v>
      </c>
      <c r="B49" s="134">
        <v>44299.561111111114</v>
      </c>
      <c r="C49" s="158">
        <v>44304.46805555555</v>
      </c>
      <c r="D49" s="135">
        <f>(C49-B49)*24</f>
        <v>117.76666666654637</v>
      </c>
      <c r="E49" s="134" t="s">
        <v>88</v>
      </c>
      <c r="F49" s="136">
        <v>107350</v>
      </c>
      <c r="G49" s="137"/>
      <c r="H49" s="158">
        <v>44304.46805555555</v>
      </c>
      <c r="I49" s="134">
        <v>44304.48819444444</v>
      </c>
      <c r="J49" s="135">
        <f>(I49-H49)*24</f>
        <v>0.48333333333721384</v>
      </c>
      <c r="K49" s="135">
        <f>(I49-H49)*24</f>
        <v>0.48333333333721384</v>
      </c>
      <c r="L49" s="138" t="s">
        <v>23</v>
      </c>
      <c r="M49" s="139" t="s">
        <v>23</v>
      </c>
      <c r="N49" s="139" t="s">
        <v>23</v>
      </c>
      <c r="O49" s="140" t="s">
        <v>17</v>
      </c>
      <c r="P49" s="134"/>
      <c r="Q49" s="129">
        <f t="shared" si="0"/>
        <v>1</v>
      </c>
      <c r="R49" s="129">
        <f t="shared" si="1"/>
      </c>
      <c r="S49" s="129">
        <f t="shared" si="2"/>
      </c>
      <c r="T49" s="130">
        <f t="shared" si="6"/>
        <v>1</v>
      </c>
      <c r="U49" s="131"/>
      <c r="V49" s="131"/>
      <c r="W49" s="131"/>
    </row>
    <row r="50" spans="1:23" s="118" customFormat="1" ht="15.75" customHeight="1">
      <c r="A50" s="122">
        <v>32</v>
      </c>
      <c r="B50" s="123">
        <v>44304.48819444444</v>
      </c>
      <c r="C50" s="123">
        <v>44308</v>
      </c>
      <c r="D50" s="153">
        <f>(C50-B50)*24</f>
        <v>84.28333333338378</v>
      </c>
      <c r="E50" s="123" t="s">
        <v>67</v>
      </c>
      <c r="F50" s="124"/>
      <c r="G50" s="125"/>
      <c r="H50" s="123"/>
      <c r="I50" s="123"/>
      <c r="J50" s="153">
        <f>(I50-H50)*24</f>
        <v>0</v>
      </c>
      <c r="K50" s="153">
        <f>(I50-H50)*24</f>
        <v>0</v>
      </c>
      <c r="L50" s="126"/>
      <c r="M50" s="127"/>
      <c r="N50" s="127"/>
      <c r="O50" s="128" t="s">
        <v>21</v>
      </c>
      <c r="P50" s="123"/>
      <c r="Q50" s="129">
        <f t="shared" si="0"/>
      </c>
      <c r="R50" s="129">
        <f t="shared" si="1"/>
        <v>1</v>
      </c>
      <c r="S50" s="129">
        <f t="shared" si="2"/>
      </c>
      <c r="T50" s="130">
        <f t="shared" si="6"/>
        <v>1</v>
      </c>
      <c r="U50" s="117"/>
      <c r="V50" s="117"/>
      <c r="W50" s="117"/>
    </row>
    <row r="51" spans="1:23" s="152" customFormat="1" ht="12.75">
      <c r="A51" s="141"/>
      <c r="B51" s="142"/>
      <c r="C51" s="142"/>
      <c r="D51" s="143">
        <f>SUM(D48:D50)</f>
        <v>207.03333333326736</v>
      </c>
      <c r="E51" s="144"/>
      <c r="F51" s="145"/>
      <c r="G51" s="146"/>
      <c r="H51" s="147"/>
      <c r="I51" s="147"/>
      <c r="J51" s="148">
        <f>SUM(J48:J50)</f>
        <v>0.9666666666744277</v>
      </c>
      <c r="K51" s="148">
        <f>SUM(K48:K50)</f>
        <v>0.9666666666744277</v>
      </c>
      <c r="L51" s="149"/>
      <c r="M51" s="150"/>
      <c r="N51" s="150"/>
      <c r="O51" s="151"/>
      <c r="P51" s="144"/>
      <c r="Q51" s="129">
        <f t="shared" si="0"/>
      </c>
      <c r="R51" s="129">
        <f t="shared" si="1"/>
      </c>
      <c r="S51" s="129">
        <f t="shared" si="2"/>
      </c>
      <c r="T51" s="130">
        <f t="shared" si="6"/>
        <v>0</v>
      </c>
      <c r="U51" s="30"/>
      <c r="V51" s="30"/>
      <c r="W51" s="30"/>
    </row>
    <row r="52" spans="1:23" s="118" customFormat="1" ht="12.75">
      <c r="A52" s="106"/>
      <c r="B52" s="107"/>
      <c r="C52" s="107"/>
      <c r="D52" s="108"/>
      <c r="E52" s="109"/>
      <c r="F52" s="110"/>
      <c r="G52" s="111"/>
      <c r="H52" s="107"/>
      <c r="I52" s="107"/>
      <c r="J52" s="112"/>
      <c r="K52" s="112"/>
      <c r="L52" s="113"/>
      <c r="M52" s="114"/>
      <c r="N52" s="114"/>
      <c r="O52" s="115"/>
      <c r="P52" s="109"/>
      <c r="Q52" s="116"/>
      <c r="R52" s="116"/>
      <c r="S52" s="116"/>
      <c r="T52" s="116"/>
      <c r="U52" s="117"/>
      <c r="V52" s="117"/>
      <c r="W52" s="117"/>
    </row>
    <row r="53" spans="1:23" s="118" customFormat="1" ht="12.75">
      <c r="A53" s="106"/>
      <c r="B53" s="107"/>
      <c r="C53" s="107"/>
      <c r="D53" s="108" t="s">
        <v>21</v>
      </c>
      <c r="E53" s="109"/>
      <c r="F53" s="110"/>
      <c r="G53" s="111"/>
      <c r="H53" s="107"/>
      <c r="I53" s="107"/>
      <c r="J53" s="112"/>
      <c r="K53" s="112"/>
      <c r="L53" s="113"/>
      <c r="M53" s="114"/>
      <c r="N53" s="114"/>
      <c r="O53" s="115"/>
      <c r="P53" s="109"/>
      <c r="Q53" s="116"/>
      <c r="R53" s="116"/>
      <c r="S53" s="116"/>
      <c r="T53" s="116"/>
      <c r="U53" s="117"/>
      <c r="V53" s="117"/>
      <c r="W53" s="117"/>
    </row>
    <row r="54" spans="1:18" ht="12.75">
      <c r="A54" s="28"/>
      <c r="B54" s="14"/>
      <c r="C54" s="34" t="s">
        <v>25</v>
      </c>
      <c r="D54" s="35">
        <f>Q56</f>
        <v>19</v>
      </c>
      <c r="E54" s="35"/>
      <c r="F54" s="29"/>
      <c r="G54" s="18"/>
      <c r="H54" s="19"/>
      <c r="I54" s="19"/>
      <c r="J54" s="36" t="s">
        <v>26</v>
      </c>
      <c r="K54" s="37"/>
      <c r="L54" s="21"/>
      <c r="M54" s="22"/>
      <c r="N54" s="22"/>
      <c r="O54" s="38"/>
      <c r="P54" s="23"/>
      <c r="R54" s="12">
        <f>IF($L54="Scheduled",1,"")</f>
      </c>
    </row>
    <row r="55" spans="1:18" ht="12.75">
      <c r="A55" s="28"/>
      <c r="B55" s="14"/>
      <c r="C55" s="34" t="s">
        <v>27</v>
      </c>
      <c r="D55" s="35">
        <f>D56-D54</f>
        <v>12</v>
      </c>
      <c r="E55" s="35"/>
      <c r="F55" s="29"/>
      <c r="G55" s="18"/>
      <c r="H55" s="19"/>
      <c r="I55" s="19"/>
      <c r="J55" s="15" t="s">
        <v>28</v>
      </c>
      <c r="K55" s="39" t="s">
        <v>13</v>
      </c>
      <c r="L55" s="21"/>
      <c r="M55" s="22"/>
      <c r="N55" s="22"/>
      <c r="O55" s="38"/>
      <c r="P55" s="23"/>
      <c r="R55" s="12">
        <f>IF($L55="Scheduled",1,"")</f>
      </c>
    </row>
    <row r="56" spans="1:29" ht="13.5" thickBot="1">
      <c r="A56" s="28"/>
      <c r="B56" s="14"/>
      <c r="C56" s="34" t="s">
        <v>29</v>
      </c>
      <c r="D56" s="40">
        <f>COUNT(A6:A52)</f>
        <v>31</v>
      </c>
      <c r="E56" s="40"/>
      <c r="F56" s="29"/>
      <c r="G56" s="18"/>
      <c r="H56" s="19"/>
      <c r="I56" s="19"/>
      <c r="J56" s="41">
        <f>SUM(J6:J52)/2</f>
        <v>39.899999999965075</v>
      </c>
      <c r="K56" s="41">
        <f>SUM(K6:K52)/2</f>
        <v>39.899999999965075</v>
      </c>
      <c r="L56" s="21"/>
      <c r="M56" s="22"/>
      <c r="N56" s="22"/>
      <c r="O56" s="38"/>
      <c r="P56" s="23"/>
      <c r="Q56" s="40">
        <f>SUM(Q1:Q52)</f>
        <v>19</v>
      </c>
      <c r="R56" s="40">
        <f>SUM(R1:R52)</f>
        <v>12</v>
      </c>
      <c r="S56" s="40">
        <f>SUM(S1:S52)</f>
        <v>2</v>
      </c>
      <c r="T56" s="40">
        <f>SUM(T1:T52)</f>
        <v>33</v>
      </c>
      <c r="V56" s="40" t="e">
        <f>SUM(#REF!)</f>
        <v>#REF!</v>
      </c>
      <c r="AA56" s="30"/>
      <c r="AB56" s="30"/>
      <c r="AC56" s="30"/>
    </row>
    <row r="57" spans="1:19" ht="14.25" thickBot="1" thickTop="1">
      <c r="A57" s="28"/>
      <c r="B57" s="14"/>
      <c r="C57" s="34"/>
      <c r="D57" s="15"/>
      <c r="E57" s="16"/>
      <c r="F57" s="29"/>
      <c r="G57" s="18"/>
      <c r="H57" s="19"/>
      <c r="I57" s="19"/>
      <c r="J57" s="41">
        <f>SUM(J52:J54)/2</f>
        <v>0</v>
      </c>
      <c r="K57" s="41">
        <f>SUM(K52:K54)/2</f>
        <v>0</v>
      </c>
      <c r="L57" s="21"/>
      <c r="M57" s="22"/>
      <c r="N57" s="22"/>
      <c r="O57" s="21"/>
      <c r="P57" s="23"/>
      <c r="R57" s="42" t="s">
        <v>21</v>
      </c>
      <c r="S57" s="12" t="s">
        <v>30</v>
      </c>
    </row>
    <row r="58" spans="1:26" ht="13.5" thickTop="1">
      <c r="A58" s="28"/>
      <c r="B58" s="14"/>
      <c r="C58" s="34" t="s">
        <v>31</v>
      </c>
      <c r="D58" s="15">
        <f>SUM(D6:D52)/2</f>
        <v>1727.0999999999767</v>
      </c>
      <c r="E58" s="43">
        <f>D58/24</f>
        <v>71.96249999999903</v>
      </c>
      <c r="F58" s="44" t="s">
        <v>32</v>
      </c>
      <c r="G58" s="18"/>
      <c r="H58" s="19"/>
      <c r="I58" s="12"/>
      <c r="J58" s="12"/>
      <c r="K58" s="12"/>
      <c r="L58" s="21"/>
      <c r="M58" s="14"/>
      <c r="N58" s="177"/>
      <c r="O58" s="15"/>
      <c r="P58" s="23"/>
      <c r="Q58" s="12" t="e">
        <f>IF(#REF!="Store Lost",1,"")</f>
        <v>#REF!</v>
      </c>
      <c r="T58" s="45"/>
      <c r="U58" s="30"/>
      <c r="V58" s="30"/>
      <c r="W58" s="30"/>
      <c r="X58" s="30"/>
      <c r="Y58" s="30"/>
      <c r="Z58" s="30"/>
    </row>
    <row r="59" spans="1:17" ht="12.75">
      <c r="A59" s="28"/>
      <c r="B59" s="14"/>
      <c r="C59" s="34" t="s">
        <v>33</v>
      </c>
      <c r="D59" s="15">
        <f>J56</f>
        <v>39.899999999965075</v>
      </c>
      <c r="E59" s="16" t="s">
        <v>34</v>
      </c>
      <c r="F59" s="29"/>
      <c r="G59" s="18"/>
      <c r="H59" s="19"/>
      <c r="I59" s="12"/>
      <c r="J59" s="12"/>
      <c r="K59" s="12"/>
      <c r="L59" s="21"/>
      <c r="M59" s="14"/>
      <c r="N59" s="177"/>
      <c r="O59" s="15"/>
      <c r="P59" s="23"/>
      <c r="Q59" s="12" t="e">
        <f>IF(#REF!="Store Lost",1,"")</f>
        <v>#REF!</v>
      </c>
    </row>
    <row r="60" spans="1:17" ht="13.5" thickBot="1">
      <c r="A60" s="28"/>
      <c r="B60" s="14"/>
      <c r="C60" s="34" t="s">
        <v>35</v>
      </c>
      <c r="D60" s="40">
        <f>SUM(D58:D59)</f>
        <v>1766.9999999999418</v>
      </c>
      <c r="E60" s="43"/>
      <c r="F60" s="29"/>
      <c r="G60" s="18"/>
      <c r="H60" s="19"/>
      <c r="I60" s="12"/>
      <c r="J60" s="12"/>
      <c r="K60" s="12"/>
      <c r="L60" s="21"/>
      <c r="M60" s="14"/>
      <c r="N60" s="177"/>
      <c r="O60" s="40"/>
      <c r="P60" s="23"/>
      <c r="Q60" s="12" t="e">
        <f>IF(#REF!="Store Lost",1,"")</f>
        <v>#REF!</v>
      </c>
    </row>
    <row r="61" spans="1:18" ht="13.5" thickTop="1">
      <c r="A61" s="28"/>
      <c r="B61" s="14"/>
      <c r="C61" s="34"/>
      <c r="D61" s="46"/>
      <c r="E61" s="47"/>
      <c r="F61" s="29"/>
      <c r="G61" s="18"/>
      <c r="H61" s="15"/>
      <c r="I61" s="12"/>
      <c r="J61" s="12"/>
      <c r="K61" s="12"/>
      <c r="L61" s="21"/>
      <c r="M61" s="14"/>
      <c r="N61" s="34"/>
      <c r="O61" s="46"/>
      <c r="P61" s="23"/>
      <c r="Q61" s="48">
        <f>Q56+R56</f>
        <v>31</v>
      </c>
      <c r="R61" s="12">
        <f>IF($P62="Store Lost",1,"")</f>
      </c>
    </row>
    <row r="62" spans="1:18" ht="12.75">
      <c r="A62" s="28"/>
      <c r="B62" s="14"/>
      <c r="C62" s="34" t="s">
        <v>36</v>
      </c>
      <c r="D62" s="49">
        <f>IF(D54,D58/D54,D58)</f>
        <v>90.89999999999877</v>
      </c>
      <c r="E62" s="16"/>
      <c r="F62" s="29"/>
      <c r="G62" s="18"/>
      <c r="I62" s="12"/>
      <c r="J62" s="12"/>
      <c r="K62" s="12"/>
      <c r="M62" s="14"/>
      <c r="N62" s="34"/>
      <c r="O62" s="49"/>
      <c r="Q62" s="23"/>
      <c r="R62" s="12">
        <f>IF($P64="Store Lost",1,"")</f>
      </c>
    </row>
    <row r="63" spans="1:18" ht="12.75">
      <c r="A63" s="28"/>
      <c r="B63" s="14"/>
      <c r="C63" s="34" t="s">
        <v>37</v>
      </c>
      <c r="D63" s="46">
        <f>IF(D54,24/D62,0)</f>
        <v>0.2640264026402676</v>
      </c>
      <c r="E63" s="51"/>
      <c r="F63" s="52"/>
      <c r="G63" s="53"/>
      <c r="I63" s="12"/>
      <c r="J63" s="12"/>
      <c r="K63" s="12"/>
      <c r="M63" s="14"/>
      <c r="N63" s="34"/>
      <c r="O63" s="46"/>
      <c r="Q63" s="23"/>
      <c r="R63" s="12" t="e">
        <f>NA()</f>
        <v>#N/A</v>
      </c>
    </row>
    <row r="64" spans="1:18" ht="12.75">
      <c r="A64" s="28"/>
      <c r="B64" s="14"/>
      <c r="C64" s="34" t="s">
        <v>38</v>
      </c>
      <c r="D64" s="119">
        <f>D58/D60</f>
        <v>0.9774193548387287</v>
      </c>
      <c r="E64" s="54"/>
      <c r="F64" s="29"/>
      <c r="G64" s="18"/>
      <c r="I64" s="12"/>
      <c r="J64" s="12"/>
      <c r="K64" s="12"/>
      <c r="M64" s="14"/>
      <c r="N64" s="34"/>
      <c r="O64" s="119"/>
      <c r="Q64" s="23"/>
      <c r="R64" s="12" t="e">
        <f>NA()</f>
        <v>#N/A</v>
      </c>
    </row>
    <row r="65" spans="1:29" s="55" customFormat="1" ht="13.5" thickBot="1">
      <c r="A65" s="28"/>
      <c r="B65" s="14"/>
      <c r="C65" s="14"/>
      <c r="D65" s="15"/>
      <c r="E65" s="16"/>
      <c r="F65" s="29"/>
      <c r="G65" s="18"/>
      <c r="H65" s="7"/>
      <c r="I65" s="7"/>
      <c r="J65" s="3"/>
      <c r="K65" s="50"/>
      <c r="L65" s="9"/>
      <c r="M65" s="10"/>
      <c r="N65" s="10"/>
      <c r="O65" s="9"/>
      <c r="P65" s="11"/>
      <c r="Q65" s="23"/>
      <c r="R65" s="12">
        <f aca="true" t="shared" si="7" ref="R65:R73">IF($P67="Store Lost",1,"")</f>
      </c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</row>
    <row r="66" spans="1:18" ht="12.75">
      <c r="A66" s="28"/>
      <c r="B66" s="14"/>
      <c r="C66" s="14"/>
      <c r="D66" s="15"/>
      <c r="E66" s="16"/>
      <c r="F66" s="29"/>
      <c r="G66" s="18"/>
      <c r="K66" s="50"/>
      <c r="Q66" s="23"/>
      <c r="R66" s="12">
        <f t="shared" si="7"/>
      </c>
    </row>
    <row r="67" spans="1:18" ht="12.75">
      <c r="A67" s="28"/>
      <c r="B67" s="14"/>
      <c r="C67" s="14"/>
      <c r="D67" s="15"/>
      <c r="E67" s="16"/>
      <c r="F67" s="29"/>
      <c r="G67" s="18"/>
      <c r="K67" s="50"/>
      <c r="Q67" s="23"/>
      <c r="R67" s="12">
        <f t="shared" si="7"/>
      </c>
    </row>
    <row r="68" spans="1:18" ht="12.75">
      <c r="A68" s="28"/>
      <c r="B68" s="14"/>
      <c r="C68" s="14"/>
      <c r="D68" s="15"/>
      <c r="E68" s="16"/>
      <c r="F68" s="29"/>
      <c r="G68" s="18"/>
      <c r="K68" s="50"/>
      <c r="Q68" s="23"/>
      <c r="R68" s="12">
        <f t="shared" si="7"/>
      </c>
    </row>
    <row r="69" spans="1:18" ht="12.75">
      <c r="A69" s="28"/>
      <c r="B69" s="14"/>
      <c r="C69" s="14"/>
      <c r="D69" s="15"/>
      <c r="E69" s="16"/>
      <c r="F69" s="29"/>
      <c r="G69" s="18"/>
      <c r="K69" s="50"/>
      <c r="Q69" s="23"/>
      <c r="R69" s="12">
        <f t="shared" si="7"/>
      </c>
    </row>
    <row r="70" spans="1:18" ht="12.75">
      <c r="A70" s="28"/>
      <c r="B70" s="14"/>
      <c r="C70" s="14"/>
      <c r="D70" s="15"/>
      <c r="E70" s="16"/>
      <c r="F70" s="29"/>
      <c r="G70" s="18"/>
      <c r="K70" s="50"/>
      <c r="Q70" s="23"/>
      <c r="R70" s="12">
        <f t="shared" si="7"/>
      </c>
    </row>
    <row r="71" spans="1:18" ht="12.75">
      <c r="A71" s="28"/>
      <c r="B71" s="14"/>
      <c r="C71" s="14"/>
      <c r="D71" s="15"/>
      <c r="E71" s="16"/>
      <c r="F71" s="29"/>
      <c r="G71" s="18"/>
      <c r="K71" s="50"/>
      <c r="Q71" s="23"/>
      <c r="R71" s="12">
        <f t="shared" si="7"/>
      </c>
    </row>
    <row r="72" spans="1:18" ht="12.75">
      <c r="A72" s="28"/>
      <c r="B72" s="14"/>
      <c r="C72" s="14"/>
      <c r="D72" s="15"/>
      <c r="E72" s="16"/>
      <c r="F72" s="29"/>
      <c r="G72" s="18"/>
      <c r="K72" s="50"/>
      <c r="Q72" s="23"/>
      <c r="R72" s="12">
        <f t="shared" si="7"/>
      </c>
    </row>
    <row r="73" spans="1:18" ht="12.75">
      <c r="A73" s="28"/>
      <c r="B73" s="14"/>
      <c r="C73" s="14"/>
      <c r="D73" s="15"/>
      <c r="E73" s="16"/>
      <c r="F73" s="29"/>
      <c r="G73" s="18"/>
      <c r="K73" s="50"/>
      <c r="Q73" s="23"/>
      <c r="R73" s="12">
        <f t="shared" si="7"/>
      </c>
    </row>
    <row r="74" spans="1:29" s="56" customFormat="1" ht="12.75">
      <c r="A74" s="28"/>
      <c r="B74" s="14"/>
      <c r="C74" s="14"/>
      <c r="D74" s="15"/>
      <c r="E74" s="16"/>
      <c r="F74" s="29"/>
      <c r="G74" s="18"/>
      <c r="H74" s="7"/>
      <c r="I74" s="7"/>
      <c r="J74" s="3"/>
      <c r="K74" s="50"/>
      <c r="L74" s="9"/>
      <c r="M74" s="10"/>
      <c r="N74" s="10"/>
      <c r="O74" s="9"/>
      <c r="P74" s="11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</row>
    <row r="75" spans="1:29" s="30" customFormat="1" ht="12.75">
      <c r="A75" s="28"/>
      <c r="B75" s="14"/>
      <c r="C75" s="14"/>
      <c r="D75" s="15"/>
      <c r="E75" s="16"/>
      <c r="F75" s="29"/>
      <c r="G75" s="18"/>
      <c r="H75" s="7"/>
      <c r="I75" s="7"/>
      <c r="J75" s="3"/>
      <c r="K75" s="50"/>
      <c r="L75" s="9"/>
      <c r="M75" s="10"/>
      <c r="N75" s="10"/>
      <c r="O75" s="9"/>
      <c r="P75" s="11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55"/>
      <c r="AB75" s="55"/>
      <c r="AC75" s="55"/>
    </row>
    <row r="76" spans="1:16" ht="12.75">
      <c r="A76" s="28"/>
      <c r="B76" s="14"/>
      <c r="C76" s="14"/>
      <c r="D76" s="15"/>
      <c r="E76" s="16"/>
      <c r="F76" s="29"/>
      <c r="G76" s="18"/>
      <c r="H76" s="19"/>
      <c r="I76" s="19"/>
      <c r="J76" s="15"/>
      <c r="K76" s="20"/>
      <c r="L76" s="21"/>
      <c r="M76" s="22"/>
      <c r="N76" s="22"/>
      <c r="O76" s="21"/>
      <c r="P76" s="23"/>
    </row>
    <row r="77" spans="1:26" ht="12.75">
      <c r="A77" s="28"/>
      <c r="B77" s="14"/>
      <c r="C77" s="14"/>
      <c r="E77" s="16"/>
      <c r="F77" s="29"/>
      <c r="G77" s="18"/>
      <c r="H77" s="19"/>
      <c r="I77" s="19"/>
      <c r="L77" s="21"/>
      <c r="M77" s="22"/>
      <c r="N77" s="22"/>
      <c r="O77" s="21"/>
      <c r="P77" s="23"/>
      <c r="U77" s="55"/>
      <c r="V77" s="55"/>
      <c r="W77" s="55"/>
      <c r="X77" s="55"/>
      <c r="Y77" s="55"/>
      <c r="Z77" s="55"/>
    </row>
    <row r="78" spans="1:16" ht="12.75">
      <c r="A78" s="28"/>
      <c r="B78" s="14"/>
      <c r="C78" s="14"/>
      <c r="E78" s="16"/>
      <c r="F78" s="29"/>
      <c r="G78" s="18"/>
      <c r="H78" s="19"/>
      <c r="I78" s="19"/>
      <c r="L78" s="21"/>
      <c r="M78" s="22"/>
      <c r="N78" s="22"/>
      <c r="O78" s="21"/>
      <c r="P78" s="23"/>
    </row>
    <row r="79" spans="1:16" ht="12.75">
      <c r="A79" s="28"/>
      <c r="B79" s="14"/>
      <c r="C79" s="14"/>
      <c r="E79" s="16"/>
      <c r="F79" s="29"/>
      <c r="G79" s="18"/>
      <c r="H79" s="19"/>
      <c r="I79" s="19"/>
      <c r="L79" s="21"/>
      <c r="M79" s="22"/>
      <c r="N79" s="22"/>
      <c r="O79" s="21"/>
      <c r="P79" s="23"/>
    </row>
    <row r="80" spans="1:16" ht="12.75">
      <c r="A80" s="28"/>
      <c r="B80" s="14"/>
      <c r="C80" s="14"/>
      <c r="F80" s="29"/>
      <c r="G80" s="18"/>
      <c r="H80" s="19"/>
      <c r="I80" s="19"/>
      <c r="L80" s="21"/>
      <c r="M80" s="22"/>
      <c r="N80" s="22"/>
      <c r="O80" s="21"/>
      <c r="P80" s="23"/>
    </row>
    <row r="81" spans="1:20" ht="12.75">
      <c r="A81" s="28"/>
      <c r="B81" s="14"/>
      <c r="C81" s="14"/>
      <c r="F81" s="29"/>
      <c r="G81" s="18"/>
      <c r="H81" s="19"/>
      <c r="I81" s="19"/>
      <c r="L81" s="21"/>
      <c r="M81" s="22"/>
      <c r="N81" s="22"/>
      <c r="O81" s="21"/>
      <c r="P81" s="23"/>
      <c r="R81" s="55"/>
      <c r="S81" s="55"/>
      <c r="T81" s="55"/>
    </row>
    <row r="82" spans="2:16" ht="12.75">
      <c r="B82" s="14"/>
      <c r="C82" s="14"/>
      <c r="F82" s="29"/>
      <c r="G82" s="18"/>
      <c r="H82" s="19"/>
      <c r="I82" s="19"/>
      <c r="L82" s="21"/>
      <c r="M82" s="22"/>
      <c r="N82" s="22"/>
      <c r="O82" s="21"/>
      <c r="P82" s="23"/>
    </row>
    <row r="83" spans="2:17" ht="12.75">
      <c r="B83" s="14"/>
      <c r="C83" s="14"/>
      <c r="F83" s="29"/>
      <c r="G83" s="18"/>
      <c r="H83" s="19"/>
      <c r="I83" s="19"/>
      <c r="L83" s="21"/>
      <c r="M83" s="22"/>
      <c r="N83" s="22"/>
      <c r="O83" s="21"/>
      <c r="P83" s="23"/>
      <c r="Q83" s="12">
        <f aca="true" t="shared" si="8" ref="Q83:Q114">IF($O85="Store Lost",1,"")</f>
      </c>
    </row>
    <row r="84" spans="2:29" ht="12.75">
      <c r="B84" s="14"/>
      <c r="C84" s="14"/>
      <c r="F84" s="29"/>
      <c r="G84" s="18"/>
      <c r="H84" s="19"/>
      <c r="I84" s="19"/>
      <c r="L84" s="21"/>
      <c r="M84" s="22"/>
      <c r="N84" s="22"/>
      <c r="O84" s="21"/>
      <c r="P84" s="23"/>
      <c r="Q84" s="12">
        <f t="shared" si="8"/>
      </c>
      <c r="AA84" s="56"/>
      <c r="AB84" s="56"/>
      <c r="AC84" s="56"/>
    </row>
    <row r="85" spans="2:29" ht="12.75">
      <c r="B85" s="14"/>
      <c r="C85" s="14"/>
      <c r="Q85" s="12">
        <f t="shared" si="8"/>
      </c>
      <c r="AA85" s="30"/>
      <c r="AB85" s="30"/>
      <c r="AC85" s="30"/>
    </row>
    <row r="86" spans="17:26" ht="12.75">
      <c r="Q86" s="12">
        <f t="shared" si="8"/>
      </c>
      <c r="U86" s="56"/>
      <c r="V86" s="56"/>
      <c r="W86" s="56"/>
      <c r="X86" s="56"/>
      <c r="Y86" s="56"/>
      <c r="Z86" s="56"/>
    </row>
    <row r="87" spans="17:26" ht="12.75">
      <c r="Q87" s="12">
        <f t="shared" si="8"/>
      </c>
      <c r="U87" s="30"/>
      <c r="V87" s="30"/>
      <c r="W87" s="30"/>
      <c r="X87" s="30"/>
      <c r="Y87" s="30"/>
      <c r="Z87" s="30"/>
    </row>
    <row r="88" spans="1:29" s="55" customFormat="1" ht="12.75">
      <c r="A88" s="1"/>
      <c r="B88" s="2"/>
      <c r="C88" s="2"/>
      <c r="D88" s="3"/>
      <c r="E88" s="4"/>
      <c r="F88" s="5"/>
      <c r="G88" s="6"/>
      <c r="H88" s="7"/>
      <c r="I88" s="7"/>
      <c r="J88" s="3"/>
      <c r="K88" s="8"/>
      <c r="L88" s="9"/>
      <c r="M88" s="10"/>
      <c r="N88" s="10"/>
      <c r="O88" s="9"/>
      <c r="P88" s="11"/>
      <c r="Q88" s="12">
        <f t="shared" si="8"/>
      </c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</row>
    <row r="89" ht="12.75">
      <c r="Q89" s="12">
        <f t="shared" si="8"/>
      </c>
    </row>
    <row r="90" spans="17:20" ht="12.75">
      <c r="Q90" s="12">
        <f t="shared" si="8"/>
      </c>
      <c r="R90" s="56"/>
      <c r="S90" s="56"/>
      <c r="T90" s="56"/>
    </row>
    <row r="91" spans="17:20" ht="12.75">
      <c r="Q91" s="12">
        <f t="shared" si="8"/>
      </c>
      <c r="R91" s="30"/>
      <c r="S91" s="30"/>
      <c r="T91" s="30"/>
    </row>
    <row r="92" ht="12.75">
      <c r="Q92" s="12">
        <f t="shared" si="8"/>
      </c>
    </row>
    <row r="93" ht="12.75">
      <c r="Q93" s="12">
        <f t="shared" si="8"/>
      </c>
    </row>
    <row r="94" ht="12.75">
      <c r="Q94" s="12">
        <f t="shared" si="8"/>
      </c>
    </row>
    <row r="95" ht="12.75">
      <c r="Q95" s="12">
        <f t="shared" si="8"/>
      </c>
    </row>
    <row r="96" ht="12.75">
      <c r="Q96" s="12">
        <f t="shared" si="8"/>
      </c>
    </row>
    <row r="97" ht="12.75">
      <c r="Q97" s="12">
        <f t="shared" si="8"/>
      </c>
    </row>
    <row r="98" spans="17:29" ht="12.75">
      <c r="Q98" s="12">
        <f t="shared" si="8"/>
      </c>
      <c r="AA98" s="55"/>
      <c r="AB98" s="55"/>
      <c r="AC98" s="55"/>
    </row>
    <row r="99" ht="12.75">
      <c r="Q99" s="12">
        <f t="shared" si="8"/>
      </c>
    </row>
    <row r="100" spans="17:26" ht="12.75">
      <c r="Q100" s="12">
        <f t="shared" si="8"/>
      </c>
      <c r="U100" s="55"/>
      <c r="V100" s="55"/>
      <c r="W100" s="55"/>
      <c r="X100" s="55"/>
      <c r="Y100" s="55"/>
      <c r="Z100" s="55"/>
    </row>
    <row r="101" spans="1:29" s="55" customFormat="1" ht="12.75">
      <c r="A101" s="1"/>
      <c r="B101" s="2"/>
      <c r="C101" s="2"/>
      <c r="D101" s="3"/>
      <c r="E101" s="4"/>
      <c r="F101" s="5"/>
      <c r="G101" s="6"/>
      <c r="H101" s="7"/>
      <c r="I101" s="7"/>
      <c r="J101" s="3"/>
      <c r="K101" s="8"/>
      <c r="L101" s="9"/>
      <c r="M101" s="10"/>
      <c r="N101" s="10"/>
      <c r="O101" s="9"/>
      <c r="P101" s="11"/>
      <c r="Q101" s="12">
        <f t="shared" si="8"/>
      </c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</row>
    <row r="102" spans="1:29" s="30" customFormat="1" ht="12.75">
      <c r="A102" s="1"/>
      <c r="B102" s="2"/>
      <c r="C102" s="2"/>
      <c r="D102" s="3"/>
      <c r="E102" s="4"/>
      <c r="F102" s="5"/>
      <c r="G102" s="6"/>
      <c r="H102" s="7"/>
      <c r="I102" s="7"/>
      <c r="J102" s="3"/>
      <c r="K102" s="8"/>
      <c r="L102" s="9"/>
      <c r="M102" s="10"/>
      <c r="N102" s="10"/>
      <c r="O102" s="9"/>
      <c r="P102" s="11"/>
      <c r="Q102" s="12">
        <f t="shared" si="8"/>
      </c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</row>
    <row r="103" spans="1:29" s="55" customFormat="1" ht="12.75">
      <c r="A103" s="1"/>
      <c r="B103" s="2"/>
      <c r="C103" s="2"/>
      <c r="D103" s="3"/>
      <c r="E103" s="4"/>
      <c r="F103" s="5"/>
      <c r="G103" s="6"/>
      <c r="H103" s="7"/>
      <c r="I103" s="7"/>
      <c r="J103" s="3"/>
      <c r="K103" s="8"/>
      <c r="L103" s="9"/>
      <c r="M103" s="10"/>
      <c r="N103" s="10"/>
      <c r="O103" s="9"/>
      <c r="P103" s="11"/>
      <c r="Q103" s="12">
        <f t="shared" si="8"/>
      </c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</row>
    <row r="104" spans="17:20" ht="12.75">
      <c r="Q104" s="12">
        <f t="shared" si="8"/>
      </c>
      <c r="R104" s="55"/>
      <c r="S104" s="55"/>
      <c r="T104" s="55"/>
    </row>
    <row r="105" ht="12.75">
      <c r="Q105" s="12">
        <f t="shared" si="8"/>
      </c>
    </row>
    <row r="106" ht="12.75">
      <c r="Q106" s="12">
        <f t="shared" si="8"/>
      </c>
    </row>
    <row r="107" ht="12.75">
      <c r="Q107" s="12">
        <f t="shared" si="8"/>
      </c>
    </row>
    <row r="108" ht="12.75">
      <c r="Q108" s="12">
        <f t="shared" si="8"/>
      </c>
    </row>
    <row r="109" ht="12.75">
      <c r="Q109" s="12">
        <f t="shared" si="8"/>
      </c>
    </row>
    <row r="110" ht="12.75">
      <c r="Q110" s="12">
        <f t="shared" si="8"/>
      </c>
    </row>
    <row r="111" spans="17:29" ht="12.75">
      <c r="Q111" s="12">
        <f t="shared" si="8"/>
      </c>
      <c r="AA111" s="55"/>
      <c r="AB111" s="55"/>
      <c r="AC111" s="55"/>
    </row>
    <row r="112" spans="17:29" ht="12.75">
      <c r="Q112" s="12">
        <f t="shared" si="8"/>
      </c>
      <c r="AA112" s="30"/>
      <c r="AB112" s="30"/>
      <c r="AC112" s="30"/>
    </row>
    <row r="113" spans="17:29" ht="12.75">
      <c r="Q113" s="12">
        <f t="shared" si="8"/>
      </c>
      <c r="U113" s="55"/>
      <c r="V113" s="55"/>
      <c r="W113" s="55"/>
      <c r="X113" s="55"/>
      <c r="Y113" s="55"/>
      <c r="Z113" s="55"/>
      <c r="AA113" s="55"/>
      <c r="AB113" s="55"/>
      <c r="AC113" s="55"/>
    </row>
    <row r="114" spans="17:26" ht="12.75">
      <c r="Q114" s="12">
        <f t="shared" si="8"/>
      </c>
      <c r="U114" s="30"/>
      <c r="V114" s="30"/>
      <c r="W114" s="30"/>
      <c r="X114" s="30"/>
      <c r="Y114" s="30"/>
      <c r="Z114" s="30"/>
    </row>
    <row r="115" spans="17:26" ht="12.75">
      <c r="Q115" s="12">
        <f aca="true" t="shared" si="9" ref="Q115:Q140">IF($O117="Store Lost",1,"")</f>
      </c>
      <c r="U115" s="55"/>
      <c r="V115" s="55"/>
      <c r="W115" s="55"/>
      <c r="X115" s="55"/>
      <c r="Y115" s="55"/>
      <c r="Z115" s="55"/>
    </row>
    <row r="116" ht="12.75">
      <c r="Q116" s="12">
        <f t="shared" si="9"/>
      </c>
    </row>
    <row r="117" spans="17:20" ht="12.75">
      <c r="Q117" s="12">
        <f t="shared" si="9"/>
      </c>
      <c r="R117" s="55"/>
      <c r="S117" s="55"/>
      <c r="T117" s="55"/>
    </row>
    <row r="118" spans="17:20" ht="12.75">
      <c r="Q118" s="12">
        <f t="shared" si="9"/>
      </c>
      <c r="R118" s="30"/>
      <c r="S118" s="30"/>
      <c r="T118" s="30"/>
    </row>
    <row r="119" spans="17:20" ht="12.75">
      <c r="Q119" s="12">
        <f t="shared" si="9"/>
      </c>
      <c r="R119" s="55"/>
      <c r="S119" s="55"/>
      <c r="T119" s="55"/>
    </row>
    <row r="120" ht="12.75">
      <c r="Q120" s="12">
        <f t="shared" si="9"/>
      </c>
    </row>
    <row r="121" ht="12.75">
      <c r="Q121" s="12">
        <f t="shared" si="9"/>
      </c>
    </row>
    <row r="122" ht="12.75">
      <c r="Q122" s="12">
        <f t="shared" si="9"/>
      </c>
    </row>
    <row r="123" ht="12.75">
      <c r="Q123" s="12">
        <f t="shared" si="9"/>
      </c>
    </row>
    <row r="124" spans="1:29" s="55" customFormat="1" ht="12.75">
      <c r="A124" s="1"/>
      <c r="B124" s="2"/>
      <c r="C124" s="2"/>
      <c r="D124" s="3"/>
      <c r="E124" s="4"/>
      <c r="F124" s="5"/>
      <c r="G124" s="6"/>
      <c r="H124" s="7"/>
      <c r="I124" s="7"/>
      <c r="J124" s="3"/>
      <c r="K124" s="8"/>
      <c r="L124" s="9"/>
      <c r="M124" s="10"/>
      <c r="N124" s="10"/>
      <c r="O124" s="9"/>
      <c r="P124" s="11"/>
      <c r="Q124" s="12">
        <f t="shared" si="9"/>
      </c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</row>
    <row r="125" ht="12.75">
      <c r="Q125" s="12">
        <f t="shared" si="9"/>
      </c>
    </row>
    <row r="126" ht="12.75">
      <c r="Q126" s="12">
        <f t="shared" si="9"/>
      </c>
    </row>
    <row r="127" ht="12.75">
      <c r="Q127" s="12">
        <f t="shared" si="9"/>
      </c>
    </row>
    <row r="128" ht="12.75">
      <c r="Q128" s="12">
        <f t="shared" si="9"/>
      </c>
    </row>
    <row r="129" ht="12.75">
      <c r="Q129" s="12">
        <f t="shared" si="9"/>
      </c>
    </row>
    <row r="130" ht="12.75">
      <c r="Q130" s="12">
        <f t="shared" si="9"/>
      </c>
    </row>
    <row r="131" ht="12.75">
      <c r="Q131" s="12">
        <f t="shared" si="9"/>
      </c>
    </row>
    <row r="132" ht="12.75">
      <c r="Q132" s="12">
        <f t="shared" si="9"/>
      </c>
    </row>
    <row r="133" ht="12.75">
      <c r="Q133" s="12">
        <f t="shared" si="9"/>
      </c>
    </row>
    <row r="134" spans="17:29" ht="12.75">
      <c r="Q134" s="12">
        <f t="shared" si="9"/>
      </c>
      <c r="AA134" s="55"/>
      <c r="AB134" s="55"/>
      <c r="AC134" s="55"/>
    </row>
    <row r="135" ht="12.75">
      <c r="Q135" s="12">
        <f t="shared" si="9"/>
      </c>
    </row>
    <row r="136" spans="17:26" ht="12.75">
      <c r="Q136" s="12">
        <f t="shared" si="9"/>
      </c>
      <c r="U136" s="55"/>
      <c r="V136" s="55"/>
      <c r="W136" s="55"/>
      <c r="X136" s="55"/>
      <c r="Y136" s="55"/>
      <c r="Z136" s="55"/>
    </row>
    <row r="137" ht="12.75">
      <c r="Q137" s="12">
        <f t="shared" si="9"/>
      </c>
    </row>
    <row r="138" ht="12.75">
      <c r="Q138" s="12">
        <f t="shared" si="9"/>
      </c>
    </row>
    <row r="139" ht="12.75">
      <c r="Q139" s="12">
        <f t="shared" si="9"/>
      </c>
    </row>
    <row r="140" spans="17:20" ht="12.75">
      <c r="Q140" s="12">
        <f t="shared" si="9"/>
      </c>
      <c r="R140" s="55"/>
      <c r="S140" s="55"/>
      <c r="T140" s="55"/>
    </row>
    <row r="144" ht="12.75">
      <c r="Q144" s="12">
        <f>COUNT(Q52:Q140)</f>
        <v>2</v>
      </c>
    </row>
  </sheetData>
  <sheetProtection/>
  <mergeCells count="1">
    <mergeCell ref="A2:I2"/>
  </mergeCells>
  <printOptions/>
  <pageMargins left="0" right="0" top="0" bottom="0.15" header="0.5118055555555555" footer="0.15"/>
  <pageSetup fitToHeight="0" fitToWidth="1" horizontalDpi="300" verticalDpi="300" orientation="landscape" paperSize="5" scale="68" r:id="rId2"/>
  <headerFooter alignWithMargins="0">
    <oddFooter>&amp;RUpdated &amp;D</oddFooter>
  </headerFooter>
  <rowBreaks count="1" manualBreakCount="1">
    <brk id="8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43"/>
  <sheetViews>
    <sheetView zoomScalePageLayoutView="0" workbookViewId="0" topLeftCell="D13">
      <selection activeCell="A27" sqref="A27"/>
    </sheetView>
  </sheetViews>
  <sheetFormatPr defaultColWidth="9.140625" defaultRowHeight="12.75"/>
  <cols>
    <col min="1" max="1" width="21.8515625" style="0" customWidth="1"/>
    <col min="2" max="7" width="12.00390625" style="0" customWidth="1"/>
    <col min="8" max="8" width="10.57421875" style="0" customWidth="1"/>
    <col min="9" max="11" width="12.00390625" style="0" customWidth="1"/>
    <col min="12" max="13" width="10.57421875" style="0" customWidth="1"/>
    <col min="14" max="15" width="22.28125" style="0" customWidth="1"/>
    <col min="16" max="16" width="12.00390625" style="0" customWidth="1"/>
    <col min="17" max="18" width="22.28125" style="0" customWidth="1"/>
    <col min="19" max="19" width="12.00390625" style="0" customWidth="1"/>
    <col min="20" max="21" width="22.28125" style="0" customWidth="1"/>
    <col min="22" max="22" width="4.00390625" style="0" customWidth="1"/>
    <col min="23" max="24" width="22.28125" style="0" customWidth="1"/>
    <col min="25" max="25" width="12.00390625" style="0" customWidth="1"/>
    <col min="26" max="27" width="21.140625" style="0" customWidth="1"/>
    <col min="28" max="28" width="4.00390625" style="0" customWidth="1"/>
    <col min="29" max="30" width="21.140625" style="0" bestFit="1" customWidth="1"/>
    <col min="31" max="31" width="4.421875" style="0" customWidth="1"/>
    <col min="32" max="33" width="21.140625" style="0" bestFit="1" customWidth="1"/>
    <col min="34" max="34" width="5.00390625" style="0" customWidth="1"/>
    <col min="35" max="36" width="21.140625" style="0" bestFit="1" customWidth="1"/>
    <col min="37" max="37" width="10.28125" style="0" bestFit="1" customWidth="1"/>
  </cols>
  <sheetData>
    <row r="3" spans="1:8" ht="12.75">
      <c r="A3" s="159"/>
      <c r="B3" s="160" t="s">
        <v>14</v>
      </c>
      <c r="C3" s="161"/>
      <c r="D3" s="161"/>
      <c r="E3" s="161"/>
      <c r="F3" s="161"/>
      <c r="G3" s="161"/>
      <c r="H3" s="162"/>
    </row>
    <row r="4" spans="1:8" ht="12.75">
      <c r="A4" s="160" t="s">
        <v>39</v>
      </c>
      <c r="B4" s="159" t="s">
        <v>22</v>
      </c>
      <c r="C4" s="163" t="s">
        <v>23</v>
      </c>
      <c r="D4" s="163" t="s">
        <v>24</v>
      </c>
      <c r="E4" s="163" t="s">
        <v>65</v>
      </c>
      <c r="F4" s="163" t="s">
        <v>70</v>
      </c>
      <c r="G4" s="163" t="s">
        <v>86</v>
      </c>
      <c r="H4" s="164" t="s">
        <v>59</v>
      </c>
    </row>
    <row r="5" spans="1:8" ht="12.75">
      <c r="A5" s="159" t="s">
        <v>40</v>
      </c>
      <c r="B5" s="165">
        <v>1</v>
      </c>
      <c r="C5" s="166">
        <v>0</v>
      </c>
      <c r="D5" s="166">
        <v>1</v>
      </c>
      <c r="E5" s="166">
        <v>0</v>
      </c>
      <c r="F5" s="166">
        <v>0</v>
      </c>
      <c r="G5" s="166">
        <v>0</v>
      </c>
      <c r="H5" s="167">
        <v>2</v>
      </c>
    </row>
    <row r="6" spans="1:8" ht="12.75">
      <c r="A6" s="168" t="s">
        <v>41</v>
      </c>
      <c r="B6" s="169">
        <v>5</v>
      </c>
      <c r="C6" s="70">
        <v>8</v>
      </c>
      <c r="D6" s="70">
        <v>1</v>
      </c>
      <c r="E6" s="70">
        <v>1</v>
      </c>
      <c r="F6" s="70">
        <v>3</v>
      </c>
      <c r="G6" s="70">
        <v>1</v>
      </c>
      <c r="H6" s="170">
        <v>19</v>
      </c>
    </row>
    <row r="7" spans="1:8" ht="12.75">
      <c r="A7" s="171" t="s">
        <v>68</v>
      </c>
      <c r="B7" s="173">
        <v>14.499999999941792</v>
      </c>
      <c r="C7" s="174">
        <v>10.733333333395422</v>
      </c>
      <c r="D7" s="172">
        <v>2.6499999999068677</v>
      </c>
      <c r="E7" s="172">
        <v>0.48333333333721384</v>
      </c>
      <c r="F7" s="172">
        <v>9.583333333488554</v>
      </c>
      <c r="G7" s="172">
        <v>1.9499999998952262</v>
      </c>
      <c r="H7" s="175">
        <v>39.899999999965075</v>
      </c>
    </row>
    <row r="13" spans="2:21" ht="12.75">
      <c r="B13" s="57" t="s">
        <v>23</v>
      </c>
      <c r="C13" s="58" t="s">
        <v>44</v>
      </c>
      <c r="D13" s="58" t="s">
        <v>22</v>
      </c>
      <c r="E13" s="58" t="s">
        <v>45</v>
      </c>
      <c r="F13" s="58" t="s">
        <v>46</v>
      </c>
      <c r="G13" s="58" t="s">
        <v>47</v>
      </c>
      <c r="H13" s="58" t="s">
        <v>48</v>
      </c>
      <c r="I13" s="58" t="s">
        <v>49</v>
      </c>
      <c r="J13" s="176" t="s">
        <v>69</v>
      </c>
      <c r="K13" s="58" t="s">
        <v>50</v>
      </c>
      <c r="L13" s="58" t="s">
        <v>51</v>
      </c>
      <c r="M13" s="58" t="s">
        <v>52</v>
      </c>
      <c r="N13" s="58" t="s">
        <v>53</v>
      </c>
      <c r="O13" s="58" t="s">
        <v>54</v>
      </c>
      <c r="P13" s="58" t="s">
        <v>55</v>
      </c>
      <c r="Q13" s="58" t="s">
        <v>56</v>
      </c>
      <c r="R13" s="59" t="s">
        <v>57</v>
      </c>
      <c r="S13" s="60" t="s">
        <v>58</v>
      </c>
      <c r="T13" s="60" t="s">
        <v>59</v>
      </c>
      <c r="U13" s="61" t="s">
        <v>60</v>
      </c>
    </row>
    <row r="14" spans="1:21" s="65" customFormat="1" ht="12.75">
      <c r="A14" s="120" t="s">
        <v>89</v>
      </c>
      <c r="B14" s="155">
        <f>IF(B16,SUM(B16/B25),"")</f>
        <v>0.0060743255989789335</v>
      </c>
      <c r="C14" s="155">
        <f>IF(C16,SUM(C16/B25),"")</f>
      </c>
      <c r="D14" s="155">
        <f>IF(D16,SUM(D16/B25),"")</f>
        <v>0.008205998868105416</v>
      </c>
      <c r="E14" s="155"/>
      <c r="F14" s="155">
        <f>IF(F16,SUM(F16/B25),"")</f>
      </c>
      <c r="G14" s="155">
        <f>IF(G16,SUM(G16/B25),"")</f>
        <v>0.0011035653649662084</v>
      </c>
      <c r="H14" s="155">
        <f>IF(H16,SUM(H16/B25),"")</f>
      </c>
      <c r="I14" s="155">
        <f>IF(I16,SUM(I16/B25),"")</f>
        <v>0.0014997170344691313</v>
      </c>
      <c r="J14" s="155">
        <f>IF(J16,SUM(J16/B25),"")</f>
      </c>
      <c r="K14" s="155">
        <f>IF(K16,SUM(K16/B25),"")</f>
      </c>
      <c r="L14" s="155">
        <f>IF(L16,SUM(L16/B25),"")</f>
        <v>0.00027353329560680803</v>
      </c>
      <c r="M14" s="155">
        <f>IF(M16,SUM(M16/E25),"")</f>
      </c>
      <c r="N14" s="155">
        <f>IF(N16,SUM(N16/B25),"")</f>
      </c>
      <c r="O14" s="155">
        <f>IF(O16,SUM(O16/B25),"")</f>
        <v>0.005423504999144804</v>
      </c>
      <c r="P14" s="155">
        <f>IF(Q16,SUM(Q16/C25),"")</f>
      </c>
      <c r="Q14" s="155">
        <f>IF(Q16,SUM(Q16/B25),"")</f>
      </c>
      <c r="R14" s="63">
        <f>IF(R16,SUM(R16/B25),"")</f>
      </c>
      <c r="S14" s="63">
        <f>IF(S16,SUM(S16/B25),"")</f>
      </c>
      <c r="T14" s="63">
        <f>IF(T16,SUM(T16/B25),"")</f>
        <v>0.022580645161271302</v>
      </c>
      <c r="U14" s="64">
        <f>IF(U16,SUM(U16/N13),"")</f>
      </c>
    </row>
    <row r="15" spans="1:21" ht="12.75">
      <c r="A15" s="62" t="s">
        <v>61</v>
      </c>
      <c r="B15" s="66">
        <f>'[1]reliabilitySummary'!$B$7</f>
        <v>0.0054</v>
      </c>
      <c r="C15" s="66">
        <f>'[1]reliabilitySummary'!$B$8</f>
        <v>0.0012000000000000001</v>
      </c>
      <c r="D15" s="66">
        <f>'[1]reliabilitySummary'!$B$9</f>
        <v>0.0054</v>
      </c>
      <c r="E15" s="66">
        <f>'[1]reliabilitySummary'!$B$10</f>
        <v>0.003</v>
      </c>
      <c r="F15" s="66">
        <v>0.0028</v>
      </c>
      <c r="G15" s="66">
        <v>0.0028</v>
      </c>
      <c r="H15" s="66">
        <v>0.0028</v>
      </c>
      <c r="I15" s="66">
        <f>'[1]reliabilitySummary'!$B$16</f>
        <v>0.0036000000000000003</v>
      </c>
      <c r="J15" s="66">
        <f>'[1]reliabilitySummary'!$B$16</f>
        <v>0.0036000000000000003</v>
      </c>
      <c r="K15" s="66">
        <f>'[1]reliabilitySummary'!$B$18</f>
        <v>0.0012000000000000001</v>
      </c>
      <c r="L15" s="66">
        <f>'[1]reliabilitySummary'!$B$19</f>
        <v>0</v>
      </c>
      <c r="M15" s="66">
        <f>'[1]reliabilitySummary'!$B$20</f>
        <v>0.0006000000000000001</v>
      </c>
      <c r="N15" s="66">
        <f>'[1]reliabilitySummary'!$B$24</f>
        <v>0.0006000000000000001</v>
      </c>
      <c r="O15" s="66">
        <f>'[1]reliabilitySummary'!$B$25</f>
        <v>0.0018000000000000002</v>
      </c>
      <c r="P15" s="66">
        <f>'[1]reliabilitySummary'!$B$26</f>
        <v>0.0006000000000000001</v>
      </c>
      <c r="Q15" s="66">
        <f>'[1]reliabilitySummary'!$B$27</f>
        <v>0.0018000000000000002</v>
      </c>
      <c r="R15" s="66">
        <f>'[1]reliabilitySummary'!$B$11</f>
        <v>0.0012000000000000001</v>
      </c>
      <c r="S15" s="66">
        <f>'[1]reliabilitySummary'!$B$28</f>
        <v>0.0006000000000000001</v>
      </c>
      <c r="T15" s="66">
        <v>0.03</v>
      </c>
      <c r="U15" s="67"/>
    </row>
    <row r="16" spans="1:21" s="65" customFormat="1" ht="12.75">
      <c r="A16" s="62" t="s">
        <v>62</v>
      </c>
      <c r="B16" s="157">
        <f>GETPIVOTDATA("Sum of System 
Length",$A$3,"Group","RF")</f>
        <v>10.733333333395422</v>
      </c>
      <c r="C16" s="157"/>
      <c r="D16" s="157">
        <f>GETPIVOTDATA("Sum of System 
Length",$A$3,"Group","PS")</f>
        <v>14.499999999941792</v>
      </c>
      <c r="E16" s="157"/>
      <c r="F16" s="157"/>
      <c r="G16" s="157">
        <f>GETPIVOTDATA("Sum of System 
Length",$A$3,"Group","SI")</f>
        <v>1.9499999998952262</v>
      </c>
      <c r="H16" s="157"/>
      <c r="I16" s="157">
        <f>GETPIVOTDATA("Sum of System 
Length",$A$3,"Group","MOM")</f>
        <v>2.6499999999068677</v>
      </c>
      <c r="J16" s="157"/>
      <c r="K16" s="157"/>
      <c r="L16" s="157">
        <f>GETPIVOTDATA("Sum of System 
Length",$A$3,"Group","AOP")</f>
        <v>0.48333333333721384</v>
      </c>
      <c r="N16" s="156"/>
      <c r="O16" s="157">
        <f>GETPIVOTDATA("Sum of System 
Length",$A$3,"Group","ComEd")</f>
        <v>9.583333333488554</v>
      </c>
      <c r="P16" s="157"/>
      <c r="Q16" s="157"/>
      <c r="R16" s="156"/>
      <c r="S16" s="154"/>
      <c r="T16" s="68">
        <f>'Main Data'!J56</f>
        <v>39.899999999965075</v>
      </c>
      <c r="U16" s="69"/>
    </row>
    <row r="17" spans="1:20" ht="12.75">
      <c r="A17" s="71" t="s">
        <v>63</v>
      </c>
      <c r="B17">
        <f>GETPIVOTDATA("Sum - Store Lost",$A$3,"Group","RF")</f>
        <v>8</v>
      </c>
      <c r="D17">
        <f>GETPIVOTDATA("Sum - Store Lost",$A$3,"Group","PS")</f>
        <v>5</v>
      </c>
      <c r="G17">
        <f>GETPIVOTDATA("Sum - Store Lost",$A$3,"Group","SI")</f>
        <v>1</v>
      </c>
      <c r="I17">
        <f>GETPIVOTDATA("Sum - Store Lost",$A$3,"Group","MOM")</f>
        <v>1</v>
      </c>
      <c r="L17">
        <f>GETPIVOTDATA("Sum - Store Lost",$A$3,"Group","AOP")</f>
        <v>1</v>
      </c>
      <c r="O17">
        <f>GETPIVOTDATA("Sum - Store Lost",$A$3,"Group","ComEd")</f>
        <v>3</v>
      </c>
      <c r="T17" s="68">
        <f>SUM(B17:S17)</f>
        <v>19</v>
      </c>
    </row>
    <row r="18" spans="1:20" ht="12.75">
      <c r="A18" s="71"/>
      <c r="B18" s="70"/>
      <c r="C18" s="70"/>
      <c r="D18" s="70"/>
      <c r="E18" s="70"/>
      <c r="G18" s="70"/>
      <c r="H18" s="70"/>
      <c r="I18" s="70"/>
      <c r="J18" s="70"/>
      <c r="N18" s="70"/>
      <c r="P18" s="70"/>
      <c r="T18" s="68"/>
    </row>
    <row r="19" spans="1:20" ht="13.5" thickBot="1">
      <c r="A19" s="71"/>
      <c r="B19" s="156"/>
      <c r="C19" s="70"/>
      <c r="D19" s="70"/>
      <c r="E19" s="70"/>
      <c r="G19" s="70"/>
      <c r="H19" s="70"/>
      <c r="I19" s="70"/>
      <c r="J19" s="70"/>
      <c r="N19" s="70"/>
      <c r="P19" s="70"/>
      <c r="T19" s="68"/>
    </row>
    <row r="20" spans="2:20" ht="12.75">
      <c r="B20" s="57" t="s">
        <v>23</v>
      </c>
      <c r="C20" s="58" t="s">
        <v>44</v>
      </c>
      <c r="D20" s="58" t="s">
        <v>22</v>
      </c>
      <c r="E20" s="58" t="s">
        <v>45</v>
      </c>
      <c r="F20" s="58" t="s">
        <v>46</v>
      </c>
      <c r="G20" s="58" t="s">
        <v>47</v>
      </c>
      <c r="H20" s="58" t="s">
        <v>48</v>
      </c>
      <c r="I20" s="58" t="s">
        <v>24</v>
      </c>
      <c r="J20" s="176" t="s">
        <v>69</v>
      </c>
      <c r="K20" s="58" t="s">
        <v>50</v>
      </c>
      <c r="L20" s="58" t="s">
        <v>51</v>
      </c>
      <c r="M20" s="58" t="s">
        <v>52</v>
      </c>
      <c r="N20" s="58" t="s">
        <v>53</v>
      </c>
      <c r="O20" s="58" t="s">
        <v>54</v>
      </c>
      <c r="P20" s="58" t="s">
        <v>55</v>
      </c>
      <c r="Q20" s="58" t="s">
        <v>56</v>
      </c>
      <c r="R20" s="59" t="s">
        <v>57</v>
      </c>
      <c r="S20" s="60" t="s">
        <v>58</v>
      </c>
      <c r="T20" s="68"/>
    </row>
    <row r="21" spans="1:20" ht="12.75">
      <c r="A21" s="120" t="s">
        <v>89</v>
      </c>
      <c r="B21" s="72">
        <f aca="true" t="shared" si="0" ref="B21:I21">B17/($B24/24)</f>
        <v>0.11116901163800741</v>
      </c>
      <c r="C21" s="73">
        <f t="shared" si="0"/>
        <v>0</v>
      </c>
      <c r="D21" s="73">
        <f t="shared" si="0"/>
        <v>0.06948063227375463</v>
      </c>
      <c r="E21" s="73">
        <f t="shared" si="0"/>
        <v>0</v>
      </c>
      <c r="F21" s="72">
        <f t="shared" si="0"/>
        <v>0</v>
      </c>
      <c r="G21" s="72">
        <f t="shared" si="0"/>
        <v>0.013896126454750926</v>
      </c>
      <c r="H21" s="72">
        <f t="shared" si="0"/>
        <v>0</v>
      </c>
      <c r="I21" s="72">
        <f t="shared" si="0"/>
        <v>0.013896126454750926</v>
      </c>
      <c r="J21" s="72">
        <f>J17/($B24/24)</f>
        <v>0</v>
      </c>
      <c r="K21" s="73">
        <f>K17/($B24/24)</f>
        <v>0</v>
      </c>
      <c r="L21" s="73">
        <f>L17/($B24/24)</f>
        <v>0.013896126454750926</v>
      </c>
      <c r="M21" s="72">
        <f>M17/($B24/24)</f>
        <v>0</v>
      </c>
      <c r="N21" s="73"/>
      <c r="O21" s="72">
        <f aca="true" t="shared" si="1" ref="O21:T21">O17/($B24/24)</f>
        <v>0.04168837936425278</v>
      </c>
      <c r="P21" s="72">
        <f t="shared" si="1"/>
        <v>0</v>
      </c>
      <c r="Q21" s="73">
        <f>N17/($B24/24)</f>
        <v>0</v>
      </c>
      <c r="R21" s="72">
        <f t="shared" si="1"/>
        <v>0</v>
      </c>
      <c r="S21" s="72">
        <f t="shared" si="1"/>
        <v>0</v>
      </c>
      <c r="T21" s="72">
        <f t="shared" si="1"/>
        <v>0.2640264026402676</v>
      </c>
    </row>
    <row r="22" spans="1:21" ht="12.75">
      <c r="A22" s="74" t="s">
        <v>61</v>
      </c>
      <c r="B22" s="75">
        <f>'[1]reliabilitySummary'!$F$7</f>
        <v>0.12</v>
      </c>
      <c r="C22" s="75">
        <f>'[1]reliabilitySummary'!$F$8</f>
        <v>0.03</v>
      </c>
      <c r="D22" s="75">
        <v>0.12</v>
      </c>
      <c r="E22" s="75">
        <v>0.05</v>
      </c>
      <c r="F22" s="75">
        <v>0.035</v>
      </c>
      <c r="G22" s="75">
        <v>0.035</v>
      </c>
      <c r="H22" s="75">
        <v>0.035</v>
      </c>
      <c r="I22" s="75">
        <v>0.06</v>
      </c>
      <c r="J22" s="75">
        <v>0.06</v>
      </c>
      <c r="K22" s="75">
        <v>0.02</v>
      </c>
      <c r="L22" s="76">
        <v>0</v>
      </c>
      <c r="M22" s="76">
        <v>0.01</v>
      </c>
      <c r="N22" s="76">
        <v>0.01</v>
      </c>
      <c r="O22" s="76">
        <v>0.01</v>
      </c>
      <c r="P22" s="76">
        <v>0.01</v>
      </c>
      <c r="Q22" s="76">
        <v>0.02</v>
      </c>
      <c r="R22" s="76">
        <v>0.01</v>
      </c>
      <c r="S22" s="76">
        <v>0.02</v>
      </c>
      <c r="T22" s="76">
        <f>SUM(B22:S22)</f>
        <v>0.6550000000000001</v>
      </c>
      <c r="U22" s="77"/>
    </row>
    <row r="24" spans="1:2" ht="12.75">
      <c r="A24" s="34" t="s">
        <v>31</v>
      </c>
      <c r="B24" s="65">
        <f>'Main Data'!D58</f>
        <v>1727.0999999999767</v>
      </c>
    </row>
    <row r="25" spans="1:2" ht="12.75">
      <c r="A25" s="78" t="s">
        <v>35</v>
      </c>
      <c r="B25" s="76">
        <f>'Main Data'!D60</f>
        <v>1766.9999999999418</v>
      </c>
    </row>
    <row r="29" ht="12.75">
      <c r="A29" s="79"/>
    </row>
    <row r="35" ht="12.75">
      <c r="A35" s="80" t="s">
        <v>64</v>
      </c>
    </row>
    <row r="36" spans="1:6" ht="12.75">
      <c r="A36" s="79"/>
      <c r="B36" s="81"/>
      <c r="C36" s="82" t="s">
        <v>12</v>
      </c>
      <c r="D36" s="81"/>
      <c r="E36" s="81"/>
      <c r="F36" s="83"/>
    </row>
    <row r="37" spans="1:6" ht="12.75">
      <c r="A37" s="82" t="s">
        <v>15</v>
      </c>
      <c r="B37" s="82" t="s">
        <v>39</v>
      </c>
      <c r="C37" s="79" t="s">
        <v>22</v>
      </c>
      <c r="D37" s="84" t="s">
        <v>23</v>
      </c>
      <c r="E37" s="84" t="s">
        <v>65</v>
      </c>
      <c r="F37" s="85" t="s">
        <v>59</v>
      </c>
    </row>
    <row r="38" spans="1:6" ht="12.75">
      <c r="A38" s="79" t="s">
        <v>17</v>
      </c>
      <c r="B38" s="79" t="s">
        <v>41</v>
      </c>
      <c r="C38" s="86"/>
      <c r="D38" s="87">
        <v>1</v>
      </c>
      <c r="E38" s="87">
        <v>1</v>
      </c>
      <c r="F38" s="88">
        <v>2</v>
      </c>
    </row>
    <row r="39" spans="1:6" ht="12.75">
      <c r="A39" s="89"/>
      <c r="B39" s="90" t="s">
        <v>40</v>
      </c>
      <c r="C39" s="91"/>
      <c r="D39" s="70">
        <v>0</v>
      </c>
      <c r="E39" s="70">
        <v>0</v>
      </c>
      <c r="F39" s="92">
        <v>0</v>
      </c>
    </row>
    <row r="40" spans="1:6" ht="12.75">
      <c r="A40" s="79" t="s">
        <v>66</v>
      </c>
      <c r="B40" s="79" t="s">
        <v>41</v>
      </c>
      <c r="C40" s="86">
        <v>0</v>
      </c>
      <c r="D40" s="87"/>
      <c r="E40" s="87"/>
      <c r="F40" s="88">
        <v>0</v>
      </c>
    </row>
    <row r="41" spans="1:6" ht="12.75">
      <c r="A41" s="89"/>
      <c r="B41" s="90" t="s">
        <v>40</v>
      </c>
      <c r="C41" s="91">
        <v>1</v>
      </c>
      <c r="D41" s="70"/>
      <c r="E41" s="70"/>
      <c r="F41" s="92">
        <v>1</v>
      </c>
    </row>
    <row r="42" spans="1:6" ht="12.75">
      <c r="A42" s="79" t="s">
        <v>43</v>
      </c>
      <c r="B42" s="81"/>
      <c r="C42" s="86">
        <v>0</v>
      </c>
      <c r="D42" s="87">
        <v>1</v>
      </c>
      <c r="E42" s="87">
        <v>1</v>
      </c>
      <c r="F42" s="88">
        <v>2</v>
      </c>
    </row>
    <row r="43" spans="1:6" ht="12.75">
      <c r="A43" s="93" t="s">
        <v>42</v>
      </c>
      <c r="B43" s="94"/>
      <c r="C43" s="95">
        <v>1</v>
      </c>
      <c r="D43" s="121">
        <v>0</v>
      </c>
      <c r="E43" s="121">
        <v>0</v>
      </c>
      <c r="F43" s="96">
        <v>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20" max="20" width="12.00390625" style="0" customWidth="1"/>
    <col min="21" max="21" width="3.00390625" style="0" customWidth="1"/>
  </cols>
  <sheetData/>
  <sheetProtection/>
  <printOptions/>
  <pageMargins left="0.747916666666667" right="0.747916666666667" top="0.984027777777778" bottom="0.984027777777778" header="0.511805555555556" footer="0.511805555555556"/>
  <pageSetup horizontalDpi="300" verticalDpi="3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Summary</dc:title>
  <dc:subject>Downtime</dc:subject>
  <dc:creator>Dmitriy Ronzhin</dc:creator>
  <cp:keywords>Run 1998-5 Availability Downtime 1999</cp:keywords>
  <dc:description/>
  <cp:lastModifiedBy>Flood, Randy J.</cp:lastModifiedBy>
  <cp:lastPrinted>2021-04-05T15:54:21Z</cp:lastPrinted>
  <dcterms:created xsi:type="dcterms:W3CDTF">1998-01-15T00:06:45Z</dcterms:created>
  <dcterms:modified xsi:type="dcterms:W3CDTF">2021-05-03T18:20:45Z</dcterms:modified>
  <cp:category/>
  <cp:version/>
  <cp:contentType/>
  <cp:contentStatus/>
  <cp:revision>5</cp:revision>
</cp:coreProperties>
</file>