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60" yWindow="0" windowWidth="9300" windowHeight="0" tabRatio="927" activeTab="0"/>
  </bookViews>
  <sheets>
    <sheet name="Main Data" sheetId="1" r:id="rId1"/>
    <sheet name="Stats" sheetId="2" r:id="rId2"/>
    <sheet name="Faults Per Day" sheetId="3" r:id="rId3"/>
    <sheet name="Downtime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Data'!$A$2:$P$75</definedName>
    <definedName name="Excel_BuiltIn_Print_Area_1_1_1">'Main Data'!$A$2:$P$96</definedName>
    <definedName name="Excel_BuiltIn_Print_Area_1_1_11">'Main Data'!$A$2:$P$97</definedName>
    <definedName name="Excel_BuiltIn_Print_Area_1_1_1_1">'Main Data'!$A$2:$P$83</definedName>
    <definedName name="Excel_BuiltIn_Print_Area_41">'Faults Per Day'!$A$1:$W$67</definedName>
    <definedName name="Faults_Day_of_Delivered_Beam">'Main Data'!$D$125</definedName>
    <definedName name="Mean_Time_Between_Faults">'Main Data'!$D$124</definedName>
    <definedName name="Number_of_Fills">'Main Data'!$D$117</definedName>
    <definedName name="Number_of_Intentional_Dumps">'Main Data'!$D$116</definedName>
    <definedName name="Number_of_Lost_Fills">'Main Data'!$D$115</definedName>
    <definedName name="_xlnm.Print_Area" localSheetId="2">'Faults Per Day'!$A$1:$AC$81</definedName>
    <definedName name="_xlnm.Print_Area" localSheetId="0">'Main Data'!$A$2:$P$83</definedName>
    <definedName name="_xlnm.Print_Titles" localSheetId="0">'Main Data'!$4:$4</definedName>
    <definedName name="Refill_Time">'Main Data'!$D$1</definedName>
    <definedName name="Total_Schedule_Run_Length">'Main Data'!$D$121</definedName>
    <definedName name="Total_System_Downtime">'Main Data'!$K$117</definedName>
    <definedName name="Total_User_Beam">'Main Data'!$D$119</definedName>
    <definedName name="Total_User_Downtime">'Main Data'!$D$120</definedName>
    <definedName name="User_Beam_Days">'Main Data'!$E$119</definedName>
    <definedName name="X_ray_Availability">'Main Data'!$D$126</definedName>
  </definedNames>
  <calcPr fullCalcOnLoad="1"/>
  <pivotCaches>
    <pivotCache cacheId="15" r:id="rId5"/>
    <pivotCache cacheId="12" r:id="rId6"/>
  </pivotCaches>
</workbook>
</file>

<file path=xl/sharedStrings.xml><?xml version="1.0" encoding="utf-8"?>
<sst xmlns="http://schemas.openxmlformats.org/spreadsheetml/2006/main" count="343" uniqueCount="101">
  <si>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</si>
  <si>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</si>
  <si>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</si>
  <si>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</si>
  <si>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</si>
  <si>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</si>
  <si>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</si>
  <si>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</si>
  <si>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</si>
  <si>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</si>
  <si>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</si>
  <si>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</si>
  <si>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</si>
  <si>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</si>
  <si>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</si>
  <si>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</si>
  <si>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</si>
  <si>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</si>
  <si>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</si>
  <si>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</si>
  <si>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</si>
  <si>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</si>
  <si>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</si>
  <si>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</si>
  <si>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</si>
  <si>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</si>
  <si>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</si>
  <si>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</si>
  <si>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</si>
  <si>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</si>
  <si>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</si>
  <si>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</si>
  <si>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</si>
  <si>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</si>
  <si>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</si>
  <si>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</si>
  <si>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</si>
  <si>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</si>
  <si>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</si>
  <si>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</si>
  <si>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</si>
  <si>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</si>
  <si>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</si>
  <si>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</si>
  <si>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</si>
  <si>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</si>
  <si>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</si>
  <si>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</si>
  <si>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</si>
  <si>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</si>
  <si>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</si>
  <si>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</si>
  <si>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</si>
  <si>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</si>
  <si>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</si>
  <si>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</si>
  <si>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</si>
  <si>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</si>
  <si>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</si>
  <si>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</si>
  <si>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</si>
  <si>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</si>
  <si>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</si>
  <si>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</si>
  <si>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</si>
  <si>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</si>
  <si>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Inhibits Beam to User</t>
  </si>
  <si>
    <t>Sum of System 
Length</t>
  </si>
  <si>
    <t>Vacuum</t>
  </si>
  <si>
    <t>CTL</t>
  </si>
  <si>
    <t>OTH</t>
  </si>
  <si>
    <t>Int. Dump: End of Period</t>
  </si>
  <si>
    <t>UNK</t>
  </si>
  <si>
    <t>MCR</t>
  </si>
  <si>
    <t>Downtime for Run 2021-2</t>
  </si>
  <si>
    <t>9BM PSS trip [SI]</t>
  </si>
  <si>
    <t>S15A:H1 OI trip [PS]</t>
  </si>
  <si>
    <t>RTFB IOC boot [CTL]</t>
  </si>
  <si>
    <t>RF-4 HVPS trip [RF]</t>
  </si>
  <si>
    <t>SI</t>
  </si>
  <si>
    <t>DIA</t>
  </si>
  <si>
    <t xml:space="preserve">RTFB trip </t>
  </si>
  <si>
    <t>Tornado warning [OTH]</t>
  </si>
  <si>
    <t>28ID FEEPS [SI]</t>
  </si>
  <si>
    <t>RF-4 crowbar [RF]</t>
  </si>
  <si>
    <t>S33B:P3 glitch [DIA]</t>
  </si>
  <si>
    <t>IOCMTIME glitch [CTL]</t>
  </si>
  <si>
    <t>FF table error [AOP]</t>
  </si>
  <si>
    <t>S21A:Q4 trip [PS]</t>
  </si>
  <si>
    <t>RF-4 trip [RF]</t>
  </si>
  <si>
    <t>S12B:V1 glitch [PS]</t>
  </si>
  <si>
    <t>RF-3 trip [RF]</t>
  </si>
  <si>
    <t>RF-1 trip [RF]</t>
  </si>
  <si>
    <t>RTFB trip [DIA]</t>
  </si>
  <si>
    <t>RF-4 anode OI [RF]</t>
  </si>
  <si>
    <t>5v control PS trip {PS]</t>
  </si>
  <si>
    <t>S24 5V PS failure [PS]</t>
  </si>
  <si>
    <t>Inhibits beam to user</t>
  </si>
  <si>
    <t>Unkown beam motion {UNK]</t>
  </si>
  <si>
    <t>RF-1 kalmus trip</t>
  </si>
  <si>
    <t>Run 2021-2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</si>
</sst>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2.2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8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21" xfId="0" applyNumberFormat="1" applyFont="1" applyFill="1" applyBorder="1" applyAlignment="1">
      <alignment horizontal="center" textRotation="90"/>
    </xf>
    <xf numFmtId="164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textRotation="90" wrapText="1"/>
    </xf>
    <xf numFmtId="165" fontId="1" fillId="0" borderId="21" xfId="0" applyNumberFormat="1" applyFont="1" applyFill="1" applyBorder="1" applyAlignment="1">
      <alignment horizontal="center" textRotation="90" wrapText="1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26" xfId="0" applyNumberFormat="1" applyBorder="1" applyAlignment="1">
      <alignment/>
    </xf>
    <xf numFmtId="0" fontId="0" fillId="37" borderId="27" xfId="0" applyNumberFormat="1" applyFont="1" applyFill="1" applyBorder="1" applyAlignment="1">
      <alignment horizontal="right"/>
    </xf>
    <xf numFmtId="164" fontId="0" fillId="37" borderId="27" xfId="0" applyNumberFormat="1" applyFont="1" applyFill="1" applyBorder="1" applyAlignment="1">
      <alignment/>
    </xf>
    <xf numFmtId="0" fontId="0" fillId="37" borderId="27" xfId="0" applyNumberFormat="1" applyFont="1" applyFill="1" applyBorder="1" applyAlignment="1">
      <alignment horizontal="center"/>
    </xf>
    <xf numFmtId="164" fontId="0" fillId="37" borderId="27" xfId="0" applyNumberFormat="1" applyFont="1" applyFill="1" applyBorder="1" applyAlignment="1">
      <alignment horizontal="center"/>
    </xf>
    <xf numFmtId="0" fontId="0" fillId="37" borderId="27" xfId="0" applyNumberFormat="1" applyFont="1" applyFill="1" applyBorder="1" applyAlignment="1" applyProtection="1">
      <alignment/>
      <protection/>
    </xf>
    <xf numFmtId="0" fontId="0" fillId="37" borderId="27" xfId="0" applyNumberFormat="1" applyFont="1" applyFill="1" applyBorder="1" applyAlignment="1" applyProtection="1">
      <alignment/>
      <protection locked="0"/>
    </xf>
    <xf numFmtId="0" fontId="0" fillId="37" borderId="27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27" xfId="0" applyNumberFormat="1" applyFont="1" applyFill="1" applyBorder="1" applyAlignment="1">
      <alignment horizontal="right"/>
    </xf>
    <xf numFmtId="164" fontId="0" fillId="33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3" borderId="27" xfId="0" applyNumberFormat="1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/>
      <protection locked="0"/>
    </xf>
    <xf numFmtId="0" fontId="0" fillId="33" borderId="27" xfId="0" applyNumberFormat="1" applyFont="1" applyFill="1" applyBorder="1" applyAlignment="1" applyProtection="1">
      <alignment horizontal="left"/>
      <protection/>
    </xf>
    <xf numFmtId="0" fontId="0" fillId="40" borderId="24" xfId="0" applyNumberFormat="1" applyFont="1" applyFill="1" applyBorder="1" applyAlignment="1">
      <alignment horizontal="right"/>
    </xf>
    <xf numFmtId="164" fontId="0" fillId="40" borderId="28" xfId="0" applyNumberFormat="1" applyFont="1" applyFill="1" applyBorder="1" applyAlignment="1">
      <alignment horizontal="left"/>
    </xf>
    <xf numFmtId="2" fontId="0" fillId="41" borderId="24" xfId="0" applyNumberFormat="1" applyFont="1" applyFill="1" applyBorder="1" applyAlignment="1">
      <alignment horizontal="right"/>
    </xf>
    <xf numFmtId="164" fontId="0" fillId="40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left"/>
    </xf>
    <xf numFmtId="2" fontId="1" fillId="40" borderId="24" xfId="0" applyNumberFormat="1" applyFont="1" applyFill="1" applyBorder="1" applyAlignment="1">
      <alignment horizontal="right"/>
    </xf>
    <xf numFmtId="0" fontId="0" fillId="40" borderId="24" xfId="0" applyNumberFormat="1" applyFont="1" applyFill="1" applyBorder="1" applyAlignment="1" applyProtection="1">
      <alignment/>
      <protection/>
    </xf>
    <xf numFmtId="0" fontId="0" fillId="40" borderId="24" xfId="0" applyNumberFormat="1" applyFont="1" applyFill="1" applyBorder="1" applyAlignment="1" applyProtection="1">
      <alignment/>
      <protection locked="0"/>
    </xf>
    <xf numFmtId="0" fontId="0" fillId="4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27" xfId="0" applyNumberFormat="1" applyFont="1" applyFill="1" applyBorder="1" applyAlignment="1">
      <alignment horizontal="right"/>
    </xf>
    <xf numFmtId="0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29" xfId="0" applyNumberFormat="1" applyBorder="1" applyAlignment="1">
      <alignment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1" fillId="0" borderId="0" xfId="0" applyFont="1" applyBorder="1" applyAlignment="1" applyProtection="1">
      <alignment horizontal="right"/>
      <protection locked="0"/>
    </xf>
    <xf numFmtId="2" fontId="0" fillId="43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164" fontId="0" fillId="44" borderId="27" xfId="0" applyNumberFormat="1" applyFont="1" applyFill="1" applyBorder="1" applyAlignment="1">
      <alignment/>
    </xf>
    <xf numFmtId="2" fontId="0" fillId="45" borderId="27" xfId="0" applyNumberFormat="1" applyFont="1" applyFill="1" applyBorder="1" applyAlignment="1">
      <alignment horizontal="right"/>
    </xf>
    <xf numFmtId="0" fontId="0" fillId="44" borderId="27" xfId="0" applyNumberFormat="1" applyFont="1" applyFill="1" applyBorder="1" applyAlignment="1" applyProtection="1">
      <alignment/>
      <protection/>
    </xf>
    <xf numFmtId="0" fontId="0" fillId="44" borderId="27" xfId="0" applyNumberFormat="1" applyFont="1" applyFill="1" applyBorder="1" applyAlignment="1" applyProtection="1">
      <alignment/>
      <protection locked="0"/>
    </xf>
    <xf numFmtId="0" fontId="0" fillId="44" borderId="27" xfId="0" applyNumberFormat="1" applyFont="1" applyFill="1" applyBorder="1" applyAlignment="1" applyProtection="1">
      <alignment horizontal="left"/>
      <protection/>
    </xf>
    <xf numFmtId="164" fontId="0" fillId="46" borderId="27" xfId="0" applyNumberFormat="1" applyFont="1" applyFill="1" applyBorder="1" applyAlignment="1">
      <alignment/>
    </xf>
    <xf numFmtId="2" fontId="0" fillId="47" borderId="27" xfId="0" applyNumberFormat="1" applyFont="1" applyFill="1" applyBorder="1" applyAlignment="1">
      <alignment horizontal="right"/>
    </xf>
    <xf numFmtId="0" fontId="0" fillId="46" borderId="27" xfId="0" applyNumberFormat="1" applyFont="1" applyFill="1" applyBorder="1" applyAlignment="1" applyProtection="1">
      <alignment/>
      <protection/>
    </xf>
    <xf numFmtId="0" fontId="0" fillId="46" borderId="27" xfId="0" applyNumberFormat="1" applyFont="1" applyFill="1" applyBorder="1" applyAlignment="1" applyProtection="1">
      <alignment/>
      <protection locked="0"/>
    </xf>
    <xf numFmtId="0" fontId="0" fillId="46" borderId="27" xfId="0" applyNumberFormat="1" applyFont="1" applyFill="1" applyBorder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2021-2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9"/>
          <c:w val="0.9372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2021-2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0.2747858536171507</c:v>
                </c:pt>
                <c:pt idx="1">
                  <c:v>0.06106352302603349</c:v>
                </c:pt>
                <c:pt idx="2">
                  <c:v>0.10686116529555861</c:v>
                </c:pt>
                <c:pt idx="3">
                  <c:v>0.030531761513016745</c:v>
                </c:pt>
                <c:pt idx="4">
                  <c:v>0.015265880756508372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0.015265880756508372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0.015265880756508372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Stats!$B$22:$S$22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</c:numCache>
            </c:numRef>
          </c:val>
        </c:ser>
        <c:axId val="33439483"/>
        <c:axId val="31140504"/>
      </c:barChart>
      <c:catAx>
        <c:axId val="3343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0504"/>
        <c:crossesAt val="0"/>
        <c:auto val="1"/>
        <c:lblOffset val="100"/>
        <c:tickLblSkip val="1"/>
        <c:noMultiLvlLbl val="0"/>
      </c:catAx>
      <c:valAx>
        <c:axId val="31140504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39483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25"/>
          <c:w val="0.05675"/>
          <c:h val="0.02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2021-2 Downtime by System 
June 2 - September 30, 2021
 Scheduled User Time =  1624 hours     
User downtime= 51.87 hours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9"/>
          <c:w val="0.87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2021-2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Vacuum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0.013382594417044202</c:v>
                </c:pt>
                <c:pt idx="1">
                  <c:v>0.0032943349752477128</c:v>
                </c:pt>
                <c:pt idx="2">
                  <c:v>0.007686781609198067</c:v>
                </c:pt>
                <c:pt idx="3">
                  <c:v>0.0006055008210563157</c:v>
                </c:pt>
                <c:pt idx="4">
                  <c:v>0.0005747126437235816</c:v>
                </c:pt>
                <c:pt idx="5">
                  <c:v>0</c:v>
                </c:pt>
                <c:pt idx="6">
                  <c:v>0</c:v>
                </c:pt>
                <c:pt idx="7">
                  <c:v>0.003951149425263603</c:v>
                </c:pt>
                <c:pt idx="9">
                  <c:v>0</c:v>
                </c:pt>
                <c:pt idx="10">
                  <c:v>0.0003489326765810223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0.0018370279145807347</c:v>
                </c:pt>
                <c:pt idx="16">
                  <c:v>0</c:v>
                </c:pt>
                <c:pt idx="17">
                  <c:v>0.0002565681444752934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Vacuum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9">
                  <c:v>0.0012000000000000001</c:v>
                </c:pt>
                <c:pt idx="10">
                  <c:v>0.0012000000000000001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0.0006000000000000001</c:v>
                </c:pt>
                <c:pt idx="15">
                  <c:v>0.0018000000000000002</c:v>
                </c:pt>
                <c:pt idx="16">
                  <c:v>0.0012000000000000001</c:v>
                </c:pt>
                <c:pt idx="17">
                  <c:v>0.0006000000000000001</c:v>
                </c:pt>
              </c:numCache>
            </c:numRef>
          </c:val>
        </c:ser>
        <c:axId val="49970809"/>
        <c:axId val="42754030"/>
      </c:barChart>
      <c:catAx>
        <c:axId val="4997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54030"/>
        <c:crosses val="autoZero"/>
        <c:auto val="1"/>
        <c:lblOffset val="100"/>
        <c:tickLblSkip val="1"/>
        <c:noMultiLvlLbl val="0"/>
      </c:catAx>
      <c:valAx>
        <c:axId val="42754030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8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0809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115</xdr:row>
      <xdr:rowOff>76200</xdr:rowOff>
    </xdr:from>
    <xdr:to>
      <xdr:col>11</xdr:col>
      <xdr:colOff>85725</xdr:colOff>
      <xdr:row>116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972550" y="20850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73</xdr:row>
      <xdr:rowOff>85725</xdr:rowOff>
    </xdr:from>
    <xdr:to>
      <xdr:col>11</xdr:col>
      <xdr:colOff>85725</xdr:colOff>
      <xdr:row>74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972550" y="140398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314325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72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0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7">
        <s v="SI"/>
        <s v="PS"/>
        <s v="CTL"/>
        <s v="RF"/>
        <m/>
        <s v="DIA"/>
        <s v="OTH"/>
        <s v="AOP"/>
        <s v="MOM"/>
        <s v="UNK"/>
        <s v="VAC"/>
        <s v="UES"/>
        <s v="FAC"/>
        <s v="ComEd"/>
        <s v="OPS"/>
        <s v="BL"/>
        <s v="MCR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5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8">
        <item h="1" x="4"/>
        <item x="1"/>
        <item x="3"/>
        <item x="5"/>
        <item x="8"/>
        <item m="1" x="15"/>
        <item x="7"/>
        <item x="0"/>
        <item m="1" x="13"/>
        <item x="2"/>
        <item x="9"/>
        <item m="1" x="10"/>
        <item x="6"/>
        <item m="1" x="11"/>
        <item m="1" x="12"/>
        <item m="1" x="16"/>
        <item m="1" x="1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10">
    <i>
      <x v="1"/>
    </i>
    <i>
      <x v="2"/>
    </i>
    <i>
      <x v="3"/>
    </i>
    <i>
      <x v="4"/>
    </i>
    <i>
      <x v="6"/>
    </i>
    <i>
      <x v="7"/>
    </i>
    <i>
      <x v="9"/>
    </i>
    <i>
      <x v="10"/>
    </i>
    <i>
      <x v="12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 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3"/>
  <sheetViews>
    <sheetView tabSelected="1" zoomScaleSheetLayoutView="110" zoomScalePageLayoutView="0" workbookViewId="0" topLeftCell="A1">
      <pane ySplit="4" topLeftCell="A77" activePane="bottomLeft" state="frozen"/>
      <selection pane="topLeft" activeCell="A1" sqref="A1"/>
      <selection pane="bottomLeft" activeCell="N20" sqref="N20"/>
    </sheetView>
  </sheetViews>
  <sheetFormatPr defaultColWidth="9.00390625" defaultRowHeight="12.75"/>
  <cols>
    <col min="1" max="1" width="6.7109375" style="1" customWidth="1"/>
    <col min="2" max="2" width="17.2812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42187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97" t="s">
        <v>3</v>
      </c>
      <c r="B4" s="98" t="s">
        <v>4</v>
      </c>
      <c r="C4" s="98" t="s">
        <v>5</v>
      </c>
      <c r="D4" s="99" t="s">
        <v>6</v>
      </c>
      <c r="E4" s="100" t="s">
        <v>7</v>
      </c>
      <c r="F4" s="97" t="s">
        <v>8</v>
      </c>
      <c r="G4" s="101" t="s">
        <v>9</v>
      </c>
      <c r="H4" s="98" t="s">
        <v>4</v>
      </c>
      <c r="I4" s="98" t="s">
        <v>5</v>
      </c>
      <c r="J4" s="102" t="s">
        <v>10</v>
      </c>
      <c r="K4" s="103" t="s">
        <v>11</v>
      </c>
      <c r="L4" s="104" t="s">
        <v>12</v>
      </c>
      <c r="M4" s="105" t="s">
        <v>13</v>
      </c>
      <c r="N4" s="105" t="s">
        <v>14</v>
      </c>
      <c r="O4" s="104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118" customFormat="1" ht="15.75" customHeight="1">
      <c r="A5" s="122">
        <v>1</v>
      </c>
      <c r="B5" s="123">
        <v>44349.333333333336</v>
      </c>
      <c r="C5" s="123">
        <v>44349.606944444444</v>
      </c>
      <c r="D5" s="153">
        <f aca="true" t="shared" si="0" ref="D5:D10">(C5-B5)*24</f>
        <v>6.566666666592937</v>
      </c>
      <c r="E5" s="123" t="s">
        <v>75</v>
      </c>
      <c r="F5" s="124"/>
      <c r="G5" s="125"/>
      <c r="H5" s="123">
        <v>44349.606944444444</v>
      </c>
      <c r="I5" s="123">
        <v>44349.645833333336</v>
      </c>
      <c r="J5" s="153">
        <f aca="true" t="shared" si="1" ref="J5:J10">(I5-H5)*24</f>
        <v>0.933333333407063</v>
      </c>
      <c r="K5" s="178">
        <f aca="true" t="shared" si="2" ref="K5:K10">(I5-H5)*24</f>
        <v>0.933333333407063</v>
      </c>
      <c r="L5" s="126" t="s">
        <v>79</v>
      </c>
      <c r="M5" s="127" t="s">
        <v>79</v>
      </c>
      <c r="N5" s="127" t="s">
        <v>79</v>
      </c>
      <c r="O5" s="128" t="s">
        <v>17</v>
      </c>
      <c r="P5" s="123"/>
      <c r="Q5" s="129">
        <f aca="true" t="shared" si="3" ref="Q5:Q71">IF($O5="Store Lost",1,"")</f>
        <v>1</v>
      </c>
      <c r="R5" s="129">
        <f aca="true" t="shared" si="4" ref="R5:R71">IF($O5="Scheduled",1,"")</f>
      </c>
      <c r="S5" s="129">
        <f aca="true" t="shared" si="5" ref="S5:S71">IF($O5="Inhibits beam to user",1,"")</f>
      </c>
      <c r="T5" s="130">
        <f aca="true" t="shared" si="6" ref="T5:T10">SUM(Q5:S5)</f>
        <v>1</v>
      </c>
      <c r="U5" s="117"/>
      <c r="V5" s="117"/>
      <c r="W5" s="117"/>
    </row>
    <row r="6" spans="1:23" s="132" customFormat="1" ht="12.75">
      <c r="A6" s="133">
        <v>2</v>
      </c>
      <c r="B6" s="134">
        <v>44349.645833333336</v>
      </c>
      <c r="C6" s="134">
        <v>44350.350694444445</v>
      </c>
      <c r="D6" s="135">
        <f>(C6-B6)*24</f>
        <v>16.91666666662786</v>
      </c>
      <c r="E6" s="134" t="s">
        <v>76</v>
      </c>
      <c r="F6" s="136"/>
      <c r="G6" s="137"/>
      <c r="H6" s="134">
        <v>44350.350694444445</v>
      </c>
      <c r="I6" s="134">
        <v>44350.39722222222</v>
      </c>
      <c r="J6" s="135">
        <f>(I6-H6)*24</f>
        <v>1.116666666639503</v>
      </c>
      <c r="K6" s="135">
        <f t="shared" si="2"/>
        <v>1.116666666639503</v>
      </c>
      <c r="L6" s="138" t="s">
        <v>22</v>
      </c>
      <c r="M6" s="139" t="s">
        <v>22</v>
      </c>
      <c r="N6" s="139" t="s">
        <v>22</v>
      </c>
      <c r="O6" s="140" t="s">
        <v>17</v>
      </c>
      <c r="P6" s="134"/>
      <c r="Q6" s="129">
        <f t="shared" si="3"/>
        <v>1</v>
      </c>
      <c r="R6" s="129">
        <f t="shared" si="4"/>
      </c>
      <c r="S6" s="129">
        <f t="shared" si="5"/>
      </c>
      <c r="T6" s="130">
        <f>SUM(Q6:S6)</f>
        <v>1</v>
      </c>
      <c r="U6" s="131"/>
      <c r="V6" s="131"/>
      <c r="W6" s="131"/>
    </row>
    <row r="7" spans="1:23" s="118" customFormat="1" ht="15.75" customHeight="1">
      <c r="A7" s="122">
        <v>3</v>
      </c>
      <c r="B7" s="123">
        <v>44350.39722222222</v>
      </c>
      <c r="C7" s="123">
        <v>44350.87013888889</v>
      </c>
      <c r="D7" s="153">
        <f>(C7-B7)*24</f>
        <v>11.349999999976717</v>
      </c>
      <c r="E7" s="123" t="s">
        <v>77</v>
      </c>
      <c r="F7" s="124"/>
      <c r="G7" s="125"/>
      <c r="H7" s="123">
        <v>44350.87013888889</v>
      </c>
      <c r="I7" s="123">
        <v>44350.88958333333</v>
      </c>
      <c r="J7" s="153">
        <f>(I7-H7)*24</f>
        <v>0.46666666661622</v>
      </c>
      <c r="K7" s="178">
        <f t="shared" si="2"/>
        <v>0.46666666661622</v>
      </c>
      <c r="L7" s="126" t="s">
        <v>69</v>
      </c>
      <c r="M7" s="127" t="s">
        <v>69</v>
      </c>
      <c r="N7" s="127" t="s">
        <v>69</v>
      </c>
      <c r="O7" s="128" t="s">
        <v>17</v>
      </c>
      <c r="P7" s="123"/>
      <c r="Q7" s="129">
        <f t="shared" si="3"/>
        <v>1</v>
      </c>
      <c r="R7" s="129">
        <f t="shared" si="4"/>
      </c>
      <c r="S7" s="129">
        <f t="shared" si="5"/>
      </c>
      <c r="T7" s="130">
        <f>SUM(Q7:S7)</f>
        <v>1</v>
      </c>
      <c r="U7" s="117"/>
      <c r="V7" s="117"/>
      <c r="W7" s="117"/>
    </row>
    <row r="8" spans="1:23" s="132" customFormat="1" ht="12.75">
      <c r="A8" s="133">
        <v>4</v>
      </c>
      <c r="B8" s="134">
        <v>44350.88958333333</v>
      </c>
      <c r="C8" s="134">
        <v>44351.57638888889</v>
      </c>
      <c r="D8" s="135">
        <f t="shared" si="0"/>
        <v>16.48333333345363</v>
      </c>
      <c r="E8" s="134" t="s">
        <v>78</v>
      </c>
      <c r="F8" s="136"/>
      <c r="G8" s="137"/>
      <c r="H8" s="134">
        <v>44351.57638888889</v>
      </c>
      <c r="I8" s="134">
        <v>44351.595138888886</v>
      </c>
      <c r="J8" s="135">
        <f t="shared" si="1"/>
        <v>0.4499999998952262</v>
      </c>
      <c r="K8" s="135">
        <f t="shared" si="2"/>
        <v>0.4499999998952262</v>
      </c>
      <c r="L8" s="138" t="s">
        <v>23</v>
      </c>
      <c r="M8" s="139" t="s">
        <v>23</v>
      </c>
      <c r="N8" s="139" t="s">
        <v>23</v>
      </c>
      <c r="O8" s="140" t="s">
        <v>17</v>
      </c>
      <c r="P8" s="134"/>
      <c r="Q8" s="129">
        <f t="shared" si="3"/>
        <v>1</v>
      </c>
      <c r="R8" s="129">
        <f t="shared" si="4"/>
      </c>
      <c r="S8" s="129">
        <f t="shared" si="5"/>
      </c>
      <c r="T8" s="130">
        <f t="shared" si="6"/>
        <v>1</v>
      </c>
      <c r="U8" s="131"/>
      <c r="V8" s="131"/>
      <c r="W8" s="131"/>
    </row>
    <row r="9" spans="1:23" s="118" customFormat="1" ht="15.75" customHeight="1">
      <c r="A9" s="122">
        <v>5</v>
      </c>
      <c r="B9" s="123">
        <v>44351.595138888886</v>
      </c>
      <c r="C9" s="123">
        <v>44352.55902777778</v>
      </c>
      <c r="D9" s="153">
        <f t="shared" si="0"/>
        <v>23.133333333476912</v>
      </c>
      <c r="E9" s="123" t="s">
        <v>78</v>
      </c>
      <c r="F9" s="124"/>
      <c r="G9" s="125"/>
      <c r="H9" s="123">
        <v>44352.55902777778</v>
      </c>
      <c r="I9" s="123">
        <v>44352.57986111111</v>
      </c>
      <c r="J9" s="153">
        <f t="shared" si="1"/>
        <v>0.4999999998835847</v>
      </c>
      <c r="K9" s="153">
        <f t="shared" si="2"/>
        <v>0.4999999998835847</v>
      </c>
      <c r="L9" s="126" t="s">
        <v>23</v>
      </c>
      <c r="M9" s="127" t="s">
        <v>23</v>
      </c>
      <c r="N9" s="127" t="s">
        <v>23</v>
      </c>
      <c r="O9" s="128" t="s">
        <v>17</v>
      </c>
      <c r="P9" s="123"/>
      <c r="Q9" s="129">
        <f t="shared" si="3"/>
        <v>1</v>
      </c>
      <c r="R9" s="129">
        <f t="shared" si="4"/>
      </c>
      <c r="S9" s="129">
        <f t="shared" si="5"/>
      </c>
      <c r="T9" s="130">
        <f t="shared" si="6"/>
        <v>1</v>
      </c>
      <c r="U9" s="117"/>
      <c r="V9" s="117"/>
      <c r="W9" s="117"/>
    </row>
    <row r="10" spans="1:23" s="132" customFormat="1" ht="12.75">
      <c r="A10" s="133">
        <v>6</v>
      </c>
      <c r="B10" s="134">
        <v>44352.57986111111</v>
      </c>
      <c r="C10" s="134">
        <v>44354.333333333336</v>
      </c>
      <c r="D10" s="135">
        <f t="shared" si="0"/>
        <v>42.083333333430346</v>
      </c>
      <c r="E10" s="134" t="s">
        <v>71</v>
      </c>
      <c r="F10" s="136"/>
      <c r="G10" s="137"/>
      <c r="H10" s="134"/>
      <c r="I10" s="134"/>
      <c r="J10" s="135">
        <f t="shared" si="1"/>
        <v>0</v>
      </c>
      <c r="K10" s="135">
        <f t="shared" si="2"/>
        <v>0</v>
      </c>
      <c r="L10" s="138"/>
      <c r="M10" s="139"/>
      <c r="N10" s="139"/>
      <c r="O10" s="140" t="s">
        <v>21</v>
      </c>
      <c r="P10" s="134"/>
      <c r="Q10" s="129">
        <f t="shared" si="3"/>
      </c>
      <c r="R10" s="129">
        <f t="shared" si="4"/>
        <v>1</v>
      </c>
      <c r="S10" s="129">
        <f t="shared" si="5"/>
      </c>
      <c r="T10" s="130">
        <f t="shared" si="6"/>
        <v>1</v>
      </c>
      <c r="U10" s="131"/>
      <c r="V10" s="131"/>
      <c r="W10" s="131"/>
    </row>
    <row r="11" spans="1:23" s="152" customFormat="1" ht="12.75">
      <c r="A11" s="141"/>
      <c r="B11" s="142"/>
      <c r="C11" s="142"/>
      <c r="D11" s="143">
        <f>SUM(D5:D10)</f>
        <v>116.5333333335584</v>
      </c>
      <c r="E11" s="144"/>
      <c r="F11" s="145"/>
      <c r="G11" s="146"/>
      <c r="H11" s="147"/>
      <c r="I11" s="147"/>
      <c r="J11" s="148">
        <f>SUM(J5:J10)</f>
        <v>3.466666666441597</v>
      </c>
      <c r="K11" s="148">
        <f>SUM(K5:K10)</f>
        <v>3.466666666441597</v>
      </c>
      <c r="L11" s="149"/>
      <c r="M11" s="150"/>
      <c r="N11" s="150"/>
      <c r="O11" s="151"/>
      <c r="P11" s="144"/>
      <c r="Q11" s="129">
        <f t="shared" si="3"/>
      </c>
      <c r="R11" s="129">
        <f t="shared" si="4"/>
      </c>
      <c r="S11" s="129">
        <f t="shared" si="5"/>
      </c>
      <c r="T11" s="130">
        <f aca="true" t="shared" si="7" ref="T11:T43">SUM(Q11:S11)</f>
        <v>0</v>
      </c>
      <c r="U11" s="30"/>
      <c r="V11" s="30"/>
      <c r="W11" s="30"/>
    </row>
    <row r="12" spans="1:23" s="118" customFormat="1" ht="15.75" customHeight="1">
      <c r="A12" s="122"/>
      <c r="B12" s="123"/>
      <c r="C12" s="123"/>
      <c r="D12" s="153">
        <f>(C12-B12)*24</f>
        <v>0</v>
      </c>
      <c r="E12" s="123"/>
      <c r="F12" s="124"/>
      <c r="G12" s="125"/>
      <c r="H12" s="123">
        <v>44355.333333333336</v>
      </c>
      <c r="I12" s="123">
        <v>44355.34652777778</v>
      </c>
      <c r="J12" s="153">
        <f>(I12-H12)*24</f>
        <v>0.3166666666511446</v>
      </c>
      <c r="K12" s="153">
        <f>(I12-H12)*24</f>
        <v>0.3166666666511446</v>
      </c>
      <c r="L12" s="126" t="s">
        <v>23</v>
      </c>
      <c r="M12" s="127" t="s">
        <v>23</v>
      </c>
      <c r="N12" s="127" t="s">
        <v>23</v>
      </c>
      <c r="O12" s="128" t="s">
        <v>97</v>
      </c>
      <c r="P12" s="123"/>
      <c r="Q12" s="129">
        <f t="shared" si="3"/>
      </c>
      <c r="R12" s="129">
        <f t="shared" si="4"/>
      </c>
      <c r="S12" s="129">
        <f t="shared" si="5"/>
        <v>1</v>
      </c>
      <c r="T12" s="130">
        <f t="shared" si="7"/>
        <v>1</v>
      </c>
      <c r="U12" s="117"/>
      <c r="V12" s="117"/>
      <c r="W12" s="117"/>
    </row>
    <row r="13" spans="1:23" s="132" customFormat="1" ht="12.75">
      <c r="A13" s="133">
        <v>7</v>
      </c>
      <c r="B13" s="134">
        <v>44355.34652777778</v>
      </c>
      <c r="C13" s="134">
        <v>44359.46944444445</v>
      </c>
      <c r="D13" s="135">
        <f>(C13-B13)*24</f>
        <v>98.95000000001164</v>
      </c>
      <c r="E13" s="134" t="s">
        <v>81</v>
      </c>
      <c r="F13" s="136"/>
      <c r="G13" s="137"/>
      <c r="H13" s="134">
        <v>44359.46944444445</v>
      </c>
      <c r="I13" s="134">
        <v>44359.55069444444</v>
      </c>
      <c r="J13" s="135">
        <f>(I13-H13)*24</f>
        <v>1.9499999998952262</v>
      </c>
      <c r="K13" s="135">
        <f>(I13-H13)*24</f>
        <v>1.9499999998952262</v>
      </c>
      <c r="L13" s="138" t="s">
        <v>80</v>
      </c>
      <c r="M13" s="139" t="s">
        <v>80</v>
      </c>
      <c r="N13" s="139" t="s">
        <v>80</v>
      </c>
      <c r="O13" s="140" t="s">
        <v>17</v>
      </c>
      <c r="P13" s="134"/>
      <c r="Q13" s="129">
        <f t="shared" si="3"/>
        <v>1</v>
      </c>
      <c r="R13" s="129">
        <f t="shared" si="4"/>
      </c>
      <c r="S13" s="129">
        <f t="shared" si="5"/>
      </c>
      <c r="T13" s="130">
        <f t="shared" si="7"/>
        <v>1</v>
      </c>
      <c r="U13" s="131"/>
      <c r="V13" s="131"/>
      <c r="W13" s="131"/>
    </row>
    <row r="14" spans="1:23" s="118" customFormat="1" ht="15.75" customHeight="1">
      <c r="A14" s="122">
        <v>8</v>
      </c>
      <c r="B14" s="123">
        <v>44359.55069444444</v>
      </c>
      <c r="C14" s="123">
        <v>44361.333333333336</v>
      </c>
      <c r="D14" s="153">
        <f>(C14-B14)*24</f>
        <v>42.78333333344199</v>
      </c>
      <c r="E14" s="123" t="s">
        <v>71</v>
      </c>
      <c r="F14" s="124"/>
      <c r="G14" s="125"/>
      <c r="H14" s="123"/>
      <c r="I14" s="123"/>
      <c r="J14" s="153">
        <f>(I14-H14)*24</f>
        <v>0</v>
      </c>
      <c r="K14" s="153">
        <f>(I14-H14)*24</f>
        <v>0</v>
      </c>
      <c r="L14" s="126"/>
      <c r="M14" s="127"/>
      <c r="N14" s="127"/>
      <c r="O14" s="128" t="s">
        <v>21</v>
      </c>
      <c r="P14" s="123"/>
      <c r="Q14" s="129">
        <f t="shared" si="3"/>
      </c>
      <c r="R14" s="129">
        <f t="shared" si="4"/>
        <v>1</v>
      </c>
      <c r="S14" s="129">
        <f t="shared" si="5"/>
      </c>
      <c r="T14" s="130">
        <f t="shared" si="7"/>
        <v>1</v>
      </c>
      <c r="U14" s="117"/>
      <c r="V14" s="117"/>
      <c r="W14" s="117"/>
    </row>
    <row r="15" spans="1:23" s="152" customFormat="1" ht="12.75">
      <c r="A15" s="141"/>
      <c r="B15" s="142"/>
      <c r="C15" s="142"/>
      <c r="D15" s="143">
        <f>SUM(D12:D14)</f>
        <v>141.73333333345363</v>
      </c>
      <c r="E15" s="144"/>
      <c r="F15" s="145"/>
      <c r="G15" s="146"/>
      <c r="H15" s="147"/>
      <c r="I15" s="147"/>
      <c r="J15" s="148">
        <f>SUM(J12:J14)</f>
        <v>2.266666666546371</v>
      </c>
      <c r="K15" s="148">
        <f>SUM(K12:K14)</f>
        <v>2.266666666546371</v>
      </c>
      <c r="L15" s="149"/>
      <c r="M15" s="150"/>
      <c r="N15" s="150"/>
      <c r="O15" s="151"/>
      <c r="P15" s="144"/>
      <c r="Q15" s="129">
        <f t="shared" si="3"/>
      </c>
      <c r="R15" s="129">
        <f t="shared" si="4"/>
      </c>
      <c r="S15" s="129">
        <f t="shared" si="5"/>
      </c>
      <c r="T15" s="130">
        <f t="shared" si="7"/>
        <v>0</v>
      </c>
      <c r="U15" s="30"/>
      <c r="V15" s="30"/>
      <c r="W15" s="30"/>
    </row>
    <row r="16" spans="1:23" s="132" customFormat="1" ht="12.75">
      <c r="A16" s="133"/>
      <c r="B16" s="134"/>
      <c r="C16" s="134"/>
      <c r="D16" s="135">
        <f>(C16-B16)*24</f>
        <v>0</v>
      </c>
      <c r="E16" s="134"/>
      <c r="F16" s="136"/>
      <c r="G16" s="137"/>
      <c r="H16" s="134">
        <v>44362.333333333336</v>
      </c>
      <c r="I16" s="134">
        <v>44362.353472222225</v>
      </c>
      <c r="J16" s="135">
        <f>(I16-H16)*24</f>
        <v>0.48333333333721384</v>
      </c>
      <c r="K16" s="135">
        <f>(I16-H16)*24</f>
        <v>0.48333333333721384</v>
      </c>
      <c r="L16" s="138" t="s">
        <v>22</v>
      </c>
      <c r="M16" s="139" t="s">
        <v>22</v>
      </c>
      <c r="N16" s="139" t="s">
        <v>22</v>
      </c>
      <c r="O16" s="140" t="s">
        <v>97</v>
      </c>
      <c r="P16" s="134"/>
      <c r="Q16" s="129">
        <f t="shared" si="3"/>
      </c>
      <c r="R16" s="129">
        <f t="shared" si="4"/>
      </c>
      <c r="S16" s="129">
        <f t="shared" si="5"/>
        <v>1</v>
      </c>
      <c r="T16" s="130">
        <f t="shared" si="7"/>
        <v>1</v>
      </c>
      <c r="U16" s="131"/>
      <c r="V16" s="131"/>
      <c r="W16" s="131"/>
    </row>
    <row r="17" spans="1:23" s="118" customFormat="1" ht="15.75" customHeight="1">
      <c r="A17" s="122">
        <v>9</v>
      </c>
      <c r="B17" s="123">
        <v>44362.353472222225</v>
      </c>
      <c r="C17" s="123">
        <v>44362.595138888886</v>
      </c>
      <c r="D17" s="153">
        <f>(C17-B17)*24</f>
        <v>5.799999999871943</v>
      </c>
      <c r="E17" s="123" t="s">
        <v>84</v>
      </c>
      <c r="F17" s="124"/>
      <c r="G17" s="125"/>
      <c r="H17" s="123">
        <v>44362.595138888886</v>
      </c>
      <c r="I17" s="123">
        <v>44362.61666666667</v>
      </c>
      <c r="J17" s="153">
        <f>(I17-H17)*24</f>
        <v>0.5166666667792015</v>
      </c>
      <c r="K17" s="178">
        <f>(I17-H17)*24</f>
        <v>0.5166666667792015</v>
      </c>
      <c r="L17" s="126" t="s">
        <v>69</v>
      </c>
      <c r="M17" s="127" t="s">
        <v>69</v>
      </c>
      <c r="N17" s="127" t="s">
        <v>69</v>
      </c>
      <c r="O17" s="128" t="s">
        <v>17</v>
      </c>
      <c r="P17" s="123"/>
      <c r="Q17" s="129">
        <f t="shared" si="3"/>
        <v>1</v>
      </c>
      <c r="R17" s="129">
        <f t="shared" si="4"/>
      </c>
      <c r="S17" s="129">
        <f t="shared" si="5"/>
      </c>
      <c r="T17" s="130">
        <f t="shared" si="7"/>
        <v>1</v>
      </c>
      <c r="U17" s="117"/>
      <c r="V17" s="117"/>
      <c r="W17" s="117"/>
    </row>
    <row r="18" spans="1:23" s="132" customFormat="1" ht="12.75">
      <c r="A18" s="133">
        <v>10</v>
      </c>
      <c r="B18" s="134">
        <v>44362.61666666667</v>
      </c>
      <c r="C18" s="134">
        <v>44362.85763888889</v>
      </c>
      <c r="D18" s="135">
        <f>(C18-B18)*24</f>
        <v>5.783333333325572</v>
      </c>
      <c r="E18" s="134" t="s">
        <v>83</v>
      </c>
      <c r="F18" s="136"/>
      <c r="G18" s="137"/>
      <c r="H18" s="134">
        <v>44362.85763888889</v>
      </c>
      <c r="I18" s="134">
        <v>44362.89791666667</v>
      </c>
      <c r="J18" s="135">
        <f>(I18-H18)*24</f>
        <v>0.9666666666744277</v>
      </c>
      <c r="K18" s="135">
        <f>(I18-H18)*24</f>
        <v>0.9666666666744277</v>
      </c>
      <c r="L18" s="138" t="s">
        <v>23</v>
      </c>
      <c r="M18" s="139" t="s">
        <v>23</v>
      </c>
      <c r="N18" s="139" t="s">
        <v>23</v>
      </c>
      <c r="O18" s="140" t="s">
        <v>17</v>
      </c>
      <c r="P18" s="134"/>
      <c r="Q18" s="129">
        <f t="shared" si="3"/>
        <v>1</v>
      </c>
      <c r="R18" s="129">
        <f t="shared" si="4"/>
      </c>
      <c r="S18" s="129">
        <f t="shared" si="5"/>
      </c>
      <c r="T18" s="130">
        <f t="shared" si="7"/>
        <v>1</v>
      </c>
      <c r="U18" s="131"/>
      <c r="V18" s="131"/>
      <c r="W18" s="131"/>
    </row>
    <row r="19" spans="1:23" s="118" customFormat="1" ht="15.75" customHeight="1">
      <c r="A19" s="122">
        <v>11</v>
      </c>
      <c r="B19" s="123">
        <v>44362.89791666667</v>
      </c>
      <c r="C19" s="123">
        <v>44367.950694444444</v>
      </c>
      <c r="D19" s="153">
        <f>(C19-B19)*24</f>
        <v>121.26666666660458</v>
      </c>
      <c r="E19" s="123" t="s">
        <v>82</v>
      </c>
      <c r="F19" s="124"/>
      <c r="G19" s="125"/>
      <c r="H19" s="123">
        <v>44367.950694444444</v>
      </c>
      <c r="I19" s="123">
        <v>44368.075</v>
      </c>
      <c r="J19" s="153">
        <f>(I19-H19)*24</f>
        <v>2.983333333279006</v>
      </c>
      <c r="K19" s="153">
        <f>(I19-H19)*24</f>
        <v>2.983333333279006</v>
      </c>
      <c r="L19" s="126" t="s">
        <v>70</v>
      </c>
      <c r="M19" s="127" t="s">
        <v>70</v>
      </c>
      <c r="N19" s="127" t="s">
        <v>70</v>
      </c>
      <c r="O19" s="128" t="s">
        <v>97</v>
      </c>
      <c r="P19" s="123"/>
      <c r="Q19" s="129">
        <f t="shared" si="3"/>
      </c>
      <c r="R19" s="129">
        <f t="shared" si="4"/>
      </c>
      <c r="S19" s="129">
        <f t="shared" si="5"/>
        <v>1</v>
      </c>
      <c r="T19" s="130">
        <f t="shared" si="7"/>
        <v>1</v>
      </c>
      <c r="U19" s="117"/>
      <c r="V19" s="117"/>
      <c r="W19" s="117"/>
    </row>
    <row r="20" spans="1:23" s="132" customFormat="1" ht="12.75">
      <c r="A20" s="133">
        <v>12</v>
      </c>
      <c r="B20" s="134">
        <v>44368.075</v>
      </c>
      <c r="C20" s="134">
        <v>44368.333333333336</v>
      </c>
      <c r="D20" s="135">
        <f>(C20-B20)*24</f>
        <v>6.200000000128057</v>
      </c>
      <c r="E20" s="134" t="s">
        <v>71</v>
      </c>
      <c r="F20" s="136"/>
      <c r="G20" s="137"/>
      <c r="H20" s="134"/>
      <c r="I20" s="134"/>
      <c r="J20" s="135">
        <f>(I20-H20)*24</f>
        <v>0</v>
      </c>
      <c r="K20" s="135">
        <f>(I20-H20)*24</f>
        <v>0</v>
      </c>
      <c r="L20" s="138"/>
      <c r="M20" s="139"/>
      <c r="N20" s="139"/>
      <c r="O20" s="140" t="s">
        <v>21</v>
      </c>
      <c r="P20" s="134"/>
      <c r="Q20" s="129">
        <f t="shared" si="3"/>
      </c>
      <c r="R20" s="129">
        <f t="shared" si="4"/>
        <v>1</v>
      </c>
      <c r="S20" s="129">
        <f t="shared" si="5"/>
      </c>
      <c r="T20" s="130">
        <f t="shared" si="7"/>
        <v>1</v>
      </c>
      <c r="U20" s="131"/>
      <c r="V20" s="131"/>
      <c r="W20" s="131"/>
    </row>
    <row r="21" spans="1:23" s="152" customFormat="1" ht="12.75">
      <c r="A21" s="141"/>
      <c r="B21" s="142"/>
      <c r="C21" s="142"/>
      <c r="D21" s="143">
        <f>SUM(D16:D20)</f>
        <v>139.04999999993015</v>
      </c>
      <c r="E21" s="144"/>
      <c r="F21" s="145"/>
      <c r="G21" s="146"/>
      <c r="H21" s="147"/>
      <c r="I21" s="147"/>
      <c r="J21" s="148">
        <f>SUM(J16:J20)</f>
        <v>4.950000000069849</v>
      </c>
      <c r="K21" s="148">
        <f>SUM(K16:K20)</f>
        <v>4.950000000069849</v>
      </c>
      <c r="L21" s="149"/>
      <c r="M21" s="150"/>
      <c r="N21" s="150"/>
      <c r="O21" s="151"/>
      <c r="P21" s="144"/>
      <c r="Q21" s="129">
        <f t="shared" si="3"/>
      </c>
      <c r="R21" s="129">
        <f t="shared" si="4"/>
      </c>
      <c r="S21" s="129">
        <f t="shared" si="5"/>
      </c>
      <c r="T21" s="130">
        <f t="shared" si="7"/>
        <v>0</v>
      </c>
      <c r="U21" s="30"/>
      <c r="V21" s="30"/>
      <c r="W21" s="30"/>
    </row>
    <row r="22" spans="1:23" s="132" customFormat="1" ht="12.75">
      <c r="A22" s="133">
        <v>13</v>
      </c>
      <c r="B22" s="134">
        <v>44369.333333333336</v>
      </c>
      <c r="C22" s="134">
        <v>44370.677083333336</v>
      </c>
      <c r="D22" s="135">
        <f>(C22-B22)*24</f>
        <v>32.25</v>
      </c>
      <c r="E22" s="134" t="s">
        <v>85</v>
      </c>
      <c r="F22" s="136"/>
      <c r="G22" s="137"/>
      <c r="H22" s="134">
        <v>44370.677083333336</v>
      </c>
      <c r="I22" s="134">
        <v>44370.714583333334</v>
      </c>
      <c r="J22" s="135">
        <f>(I22-H22)*24</f>
        <v>0.8999999999650754</v>
      </c>
      <c r="K22" s="135">
        <f>(I22-H22)*24</f>
        <v>0.8999999999650754</v>
      </c>
      <c r="L22" s="138" t="s">
        <v>80</v>
      </c>
      <c r="M22" s="139" t="s">
        <v>80</v>
      </c>
      <c r="N22" s="139" t="s">
        <v>80</v>
      </c>
      <c r="O22" s="140" t="s">
        <v>17</v>
      </c>
      <c r="P22" s="134"/>
      <c r="Q22" s="129">
        <f t="shared" si="3"/>
        <v>1</v>
      </c>
      <c r="R22" s="129">
        <f t="shared" si="4"/>
      </c>
      <c r="S22" s="129">
        <f t="shared" si="5"/>
      </c>
      <c r="T22" s="130">
        <f t="shared" si="7"/>
        <v>1</v>
      </c>
      <c r="U22" s="131"/>
      <c r="V22" s="131"/>
      <c r="W22" s="131"/>
    </row>
    <row r="23" spans="1:23" s="118" customFormat="1" ht="15.75" customHeight="1">
      <c r="A23" s="122">
        <v>14</v>
      </c>
      <c r="B23" s="123">
        <v>44370.714583333334</v>
      </c>
      <c r="C23" s="123">
        <v>44375.333333333336</v>
      </c>
      <c r="D23" s="153">
        <f>(C23-B23)*24</f>
        <v>110.85000000003492</v>
      </c>
      <c r="E23" s="123" t="s">
        <v>71</v>
      </c>
      <c r="F23" s="124"/>
      <c r="G23" s="125"/>
      <c r="H23" s="123"/>
      <c r="I23" s="123"/>
      <c r="J23" s="153">
        <f>(I23-H23)*24</f>
        <v>0</v>
      </c>
      <c r="K23" s="153">
        <f>(I23-H23)*24</f>
        <v>0</v>
      </c>
      <c r="L23" s="126"/>
      <c r="M23" s="127"/>
      <c r="N23" s="127"/>
      <c r="O23" s="128" t="s">
        <v>21</v>
      </c>
      <c r="P23" s="123"/>
      <c r="Q23" s="129">
        <f t="shared" si="3"/>
      </c>
      <c r="R23" s="129">
        <f t="shared" si="4"/>
        <v>1</v>
      </c>
      <c r="S23" s="129">
        <f t="shared" si="5"/>
      </c>
      <c r="T23" s="130">
        <f t="shared" si="7"/>
        <v>1</v>
      </c>
      <c r="U23" s="117"/>
      <c r="V23" s="117"/>
      <c r="W23" s="117"/>
    </row>
    <row r="24" spans="1:23" s="152" customFormat="1" ht="12.75">
      <c r="A24" s="141"/>
      <c r="B24" s="142"/>
      <c r="C24" s="142"/>
      <c r="D24" s="143">
        <f>SUM(D22:D23)</f>
        <v>143.10000000003492</v>
      </c>
      <c r="E24" s="144"/>
      <c r="F24" s="145"/>
      <c r="G24" s="146"/>
      <c r="H24" s="147"/>
      <c r="I24" s="147"/>
      <c r="J24" s="148">
        <f>SUM(J22:J23)</f>
        <v>0.8999999999650754</v>
      </c>
      <c r="K24" s="148">
        <f>SUM(K22:K23)</f>
        <v>0.8999999999650754</v>
      </c>
      <c r="L24" s="149"/>
      <c r="M24" s="150"/>
      <c r="N24" s="150"/>
      <c r="O24" s="151"/>
      <c r="P24" s="144"/>
      <c r="Q24" s="129">
        <f t="shared" si="3"/>
      </c>
      <c r="R24" s="129">
        <f t="shared" si="4"/>
      </c>
      <c r="S24" s="129">
        <f t="shared" si="5"/>
      </c>
      <c r="T24" s="130">
        <f t="shared" si="7"/>
        <v>0</v>
      </c>
      <c r="U24" s="30"/>
      <c r="V24" s="30"/>
      <c r="W24" s="30"/>
    </row>
    <row r="25" spans="1:23" s="118" customFormat="1" ht="15.75" customHeight="1">
      <c r="A25" s="122">
        <v>15</v>
      </c>
      <c r="B25" s="123">
        <v>44376.333333333336</v>
      </c>
      <c r="C25" s="123">
        <v>44376.552777777775</v>
      </c>
      <c r="D25" s="153">
        <f>(C25-B25)*24</f>
        <v>5.266666666546371</v>
      </c>
      <c r="E25" s="123" t="s">
        <v>86</v>
      </c>
      <c r="F25" s="124"/>
      <c r="G25" s="125"/>
      <c r="H25" s="123">
        <v>44376.552777777775</v>
      </c>
      <c r="I25" s="123">
        <v>44376.59583333333</v>
      </c>
      <c r="J25" s="153">
        <f>(I25-H25)*24</f>
        <v>1.03333333338378</v>
      </c>
      <c r="K25" s="153">
        <f>(I25-H25)*24</f>
        <v>1.03333333338378</v>
      </c>
      <c r="L25" s="126" t="s">
        <v>23</v>
      </c>
      <c r="M25" s="127" t="s">
        <v>23</v>
      </c>
      <c r="N25" s="127" t="s">
        <v>23</v>
      </c>
      <c r="O25" s="128" t="s">
        <v>17</v>
      </c>
      <c r="P25" s="123"/>
      <c r="Q25" s="129">
        <f t="shared" si="3"/>
        <v>1</v>
      </c>
      <c r="R25" s="129">
        <f t="shared" si="4"/>
      </c>
      <c r="S25" s="129">
        <f t="shared" si="5"/>
      </c>
      <c r="T25" s="130">
        <f t="shared" si="7"/>
        <v>1</v>
      </c>
      <c r="U25" s="117"/>
      <c r="V25" s="117"/>
      <c r="W25" s="117"/>
    </row>
    <row r="26" spans="1:23" s="132" customFormat="1" ht="12.75">
      <c r="A26" s="133">
        <v>16</v>
      </c>
      <c r="B26" s="134">
        <v>44376.59583333333</v>
      </c>
      <c r="C26" s="134">
        <v>44381.768055555556</v>
      </c>
      <c r="D26" s="135">
        <f>(C26-B26)*24</f>
        <v>124.1333333333605</v>
      </c>
      <c r="E26" s="134" t="s">
        <v>78</v>
      </c>
      <c r="F26" s="136"/>
      <c r="G26" s="137"/>
      <c r="H26" s="134">
        <v>44381.768055555556</v>
      </c>
      <c r="I26" s="134">
        <v>44381.81180555555</v>
      </c>
      <c r="J26" s="135">
        <f>(I26-H26)*24</f>
        <v>1.0499999999301508</v>
      </c>
      <c r="K26" s="135">
        <f>(I26-H26)*24</f>
        <v>1.0499999999301508</v>
      </c>
      <c r="L26" s="138" t="s">
        <v>80</v>
      </c>
      <c r="M26" s="139" t="s">
        <v>80</v>
      </c>
      <c r="N26" s="139" t="s">
        <v>80</v>
      </c>
      <c r="O26" s="140" t="s">
        <v>17</v>
      </c>
      <c r="P26" s="134"/>
      <c r="Q26" s="129">
        <f t="shared" si="3"/>
        <v>1</v>
      </c>
      <c r="R26" s="129">
        <f t="shared" si="4"/>
      </c>
      <c r="S26" s="129">
        <f t="shared" si="5"/>
      </c>
      <c r="T26" s="130">
        <f t="shared" si="7"/>
        <v>1</v>
      </c>
      <c r="U26" s="131"/>
      <c r="V26" s="131"/>
      <c r="W26" s="131"/>
    </row>
    <row r="27" spans="1:23" s="118" customFormat="1" ht="15.75" customHeight="1">
      <c r="A27" s="122">
        <v>17</v>
      </c>
      <c r="B27" s="123">
        <v>44381.81180555555</v>
      </c>
      <c r="C27" s="123">
        <v>44382.333333333336</v>
      </c>
      <c r="D27" s="153">
        <f>(C27-B27)*24</f>
        <v>12.516666666779201</v>
      </c>
      <c r="E27" s="123" t="s">
        <v>71</v>
      </c>
      <c r="F27" s="124"/>
      <c r="G27" s="125"/>
      <c r="H27" s="123"/>
      <c r="I27" s="123"/>
      <c r="J27" s="153">
        <f>(I27-H27)*24</f>
        <v>0</v>
      </c>
      <c r="K27" s="153">
        <f>(I27-H27)*24</f>
        <v>0</v>
      </c>
      <c r="L27" s="126"/>
      <c r="M27" s="127"/>
      <c r="N27" s="127"/>
      <c r="O27" s="128" t="s">
        <v>21</v>
      </c>
      <c r="P27" s="123"/>
      <c r="Q27" s="129">
        <f t="shared" si="3"/>
      </c>
      <c r="R27" s="129">
        <f t="shared" si="4"/>
        <v>1</v>
      </c>
      <c r="S27" s="129">
        <f t="shared" si="5"/>
      </c>
      <c r="T27" s="130">
        <f t="shared" si="7"/>
        <v>1</v>
      </c>
      <c r="U27" s="117"/>
      <c r="V27" s="117"/>
      <c r="W27" s="117"/>
    </row>
    <row r="28" spans="1:23" s="152" customFormat="1" ht="12.75">
      <c r="A28" s="141"/>
      <c r="B28" s="142"/>
      <c r="C28" s="142"/>
      <c r="D28" s="143">
        <f>SUM(D25:D27)</f>
        <v>141.91666666668607</v>
      </c>
      <c r="E28" s="144"/>
      <c r="F28" s="145"/>
      <c r="G28" s="146"/>
      <c r="H28" s="147"/>
      <c r="I28" s="147"/>
      <c r="J28" s="148">
        <f>SUM(J25:J27)</f>
        <v>2.083333333313931</v>
      </c>
      <c r="K28" s="148">
        <f>SUM(K25:K27)</f>
        <v>2.083333333313931</v>
      </c>
      <c r="L28" s="149"/>
      <c r="M28" s="150"/>
      <c r="N28" s="150"/>
      <c r="O28" s="151"/>
      <c r="P28" s="144"/>
      <c r="Q28" s="129">
        <f t="shared" si="3"/>
      </c>
      <c r="R28" s="129">
        <f t="shared" si="4"/>
      </c>
      <c r="S28" s="129">
        <f t="shared" si="5"/>
      </c>
      <c r="T28" s="130">
        <f t="shared" si="7"/>
        <v>0</v>
      </c>
      <c r="U28" s="30"/>
      <c r="V28" s="30"/>
      <c r="W28" s="30"/>
    </row>
    <row r="29" spans="1:23" s="118" customFormat="1" ht="15.75" customHeight="1">
      <c r="A29" s="122">
        <v>18</v>
      </c>
      <c r="B29" s="123">
        <v>44384.333333333336</v>
      </c>
      <c r="C29" s="123">
        <v>44384.822916666664</v>
      </c>
      <c r="D29" s="153">
        <f>(C29-B29)*24</f>
        <v>11.749999999883585</v>
      </c>
      <c r="E29" s="123" t="s">
        <v>87</v>
      </c>
      <c r="F29" s="124"/>
      <c r="G29" s="125"/>
      <c r="H29" s="123">
        <v>44384.822916666664</v>
      </c>
      <c r="I29" s="123">
        <v>44384.84652777778</v>
      </c>
      <c r="J29" s="153">
        <f>(I29-H29)*24</f>
        <v>0.56666666676756</v>
      </c>
      <c r="K29" s="153">
        <f>(I29-H29)*24</f>
        <v>0.56666666676756</v>
      </c>
      <c r="L29" s="126" t="s">
        <v>65</v>
      </c>
      <c r="M29" s="127" t="s">
        <v>65</v>
      </c>
      <c r="N29" s="127" t="s">
        <v>65</v>
      </c>
      <c r="O29" s="128" t="s">
        <v>17</v>
      </c>
      <c r="P29" s="123"/>
      <c r="Q29" s="129">
        <f t="shared" si="3"/>
        <v>1</v>
      </c>
      <c r="R29" s="129">
        <f t="shared" si="4"/>
      </c>
      <c r="S29" s="129">
        <f t="shared" si="5"/>
      </c>
      <c r="T29" s="130">
        <f t="shared" si="7"/>
        <v>1</v>
      </c>
      <c r="U29" s="117"/>
      <c r="V29" s="117"/>
      <c r="W29" s="117"/>
    </row>
    <row r="30" spans="1:23" s="132" customFormat="1" ht="12.75">
      <c r="A30" s="133">
        <v>19</v>
      </c>
      <c r="B30" s="134">
        <v>44384.84652777778</v>
      </c>
      <c r="C30" s="134">
        <v>44388.01458333333</v>
      </c>
      <c r="D30" s="135">
        <f>(C30-B30)*24</f>
        <v>76.03333333320916</v>
      </c>
      <c r="E30" s="134" t="s">
        <v>88</v>
      </c>
      <c r="F30" s="136"/>
      <c r="G30" s="137"/>
      <c r="H30" s="134">
        <v>44388.01458333333</v>
      </c>
      <c r="I30" s="134">
        <v>44388.59722222222</v>
      </c>
      <c r="J30" s="135">
        <f>(I30-H30)*24</f>
        <v>13.983333333337214</v>
      </c>
      <c r="K30" s="135"/>
      <c r="L30" s="138"/>
      <c r="M30" s="139"/>
      <c r="N30" s="139"/>
      <c r="O30" s="140"/>
      <c r="P30" s="134"/>
      <c r="Q30" s="129">
        <f t="shared" si="3"/>
      </c>
      <c r="R30" s="129">
        <f t="shared" si="4"/>
      </c>
      <c r="S30" s="129">
        <f t="shared" si="5"/>
      </c>
      <c r="T30" s="130">
        <f t="shared" si="7"/>
        <v>0</v>
      </c>
      <c r="U30" s="131"/>
      <c r="V30" s="131"/>
      <c r="W30" s="131"/>
    </row>
    <row r="31" spans="1:23" s="132" customFormat="1" ht="12.75">
      <c r="A31" s="133"/>
      <c r="B31" s="134"/>
      <c r="C31" s="134"/>
      <c r="D31" s="135"/>
      <c r="E31" s="134"/>
      <c r="F31" s="136"/>
      <c r="G31" s="137"/>
      <c r="H31" s="184">
        <v>44388.01458333333</v>
      </c>
      <c r="I31" s="184">
        <v>44388.10625</v>
      </c>
      <c r="J31" s="185"/>
      <c r="K31" s="185">
        <f>(I31-H31)*24</f>
        <v>2.2000000000116415</v>
      </c>
      <c r="L31" s="186" t="s">
        <v>22</v>
      </c>
      <c r="M31" s="187" t="s">
        <v>22</v>
      </c>
      <c r="N31" s="187" t="s">
        <v>22</v>
      </c>
      <c r="O31" s="188" t="s">
        <v>17</v>
      </c>
      <c r="P31" s="184"/>
      <c r="Q31" s="129">
        <f t="shared" si="3"/>
        <v>1</v>
      </c>
      <c r="R31" s="129">
        <f t="shared" si="4"/>
      </c>
      <c r="S31" s="129">
        <f t="shared" si="5"/>
      </c>
      <c r="T31" s="130">
        <f>SUM(Q31:S31)</f>
        <v>1</v>
      </c>
      <c r="U31" s="131"/>
      <c r="V31" s="131"/>
      <c r="W31" s="131"/>
    </row>
    <row r="32" spans="1:23" s="132" customFormat="1" ht="12.75">
      <c r="A32" s="133"/>
      <c r="B32" s="134"/>
      <c r="C32" s="134"/>
      <c r="D32" s="135"/>
      <c r="E32" s="134"/>
      <c r="F32" s="136"/>
      <c r="G32" s="137"/>
      <c r="H32" s="189">
        <v>44388.10625</v>
      </c>
      <c r="I32" s="189">
        <v>44388.32986111111</v>
      </c>
      <c r="J32" s="190"/>
      <c r="K32" s="190">
        <f>(I32-H32)*24</f>
        <v>5.366666666697711</v>
      </c>
      <c r="L32" s="191" t="s">
        <v>23</v>
      </c>
      <c r="M32" s="192" t="s">
        <v>23</v>
      </c>
      <c r="N32" s="192" t="s">
        <v>23</v>
      </c>
      <c r="O32" s="193" t="s">
        <v>97</v>
      </c>
      <c r="P32" s="189"/>
      <c r="Q32" s="129">
        <f t="shared" si="3"/>
      </c>
      <c r="R32" s="129">
        <f t="shared" si="4"/>
      </c>
      <c r="S32" s="129">
        <f t="shared" si="5"/>
        <v>1</v>
      </c>
      <c r="T32" s="130">
        <f>SUM(Q32:S32)</f>
        <v>1</v>
      </c>
      <c r="U32" s="131"/>
      <c r="V32" s="131"/>
      <c r="W32" s="131"/>
    </row>
    <row r="33" spans="1:23" s="132" customFormat="1" ht="12.75">
      <c r="A33" s="133"/>
      <c r="B33" s="134"/>
      <c r="C33" s="134"/>
      <c r="D33" s="135"/>
      <c r="E33" s="134"/>
      <c r="F33" s="136"/>
      <c r="G33" s="137"/>
      <c r="H33" s="184">
        <v>44388.32986111111</v>
      </c>
      <c r="I33" s="184">
        <v>44388.59722222222</v>
      </c>
      <c r="J33" s="185"/>
      <c r="K33" s="185">
        <f>(I33-H33)*24</f>
        <v>6.416666666627862</v>
      </c>
      <c r="L33" s="186" t="s">
        <v>24</v>
      </c>
      <c r="M33" s="187" t="s">
        <v>24</v>
      </c>
      <c r="N33" s="187" t="s">
        <v>24</v>
      </c>
      <c r="O33" s="188" t="s">
        <v>97</v>
      </c>
      <c r="P33" s="184"/>
      <c r="Q33" s="129">
        <f t="shared" si="3"/>
      </c>
      <c r="R33" s="129">
        <f t="shared" si="4"/>
      </c>
      <c r="S33" s="129">
        <f t="shared" si="5"/>
        <v>1</v>
      </c>
      <c r="T33" s="130">
        <f>SUM(Q33:S33)</f>
        <v>1</v>
      </c>
      <c r="U33" s="131"/>
      <c r="V33" s="131"/>
      <c r="W33" s="131"/>
    </row>
    <row r="34" spans="1:23" s="118" customFormat="1" ht="15.75" customHeight="1">
      <c r="A34" s="122">
        <v>21</v>
      </c>
      <c r="B34" s="123">
        <v>44388.59722222222</v>
      </c>
      <c r="C34" s="123">
        <v>44389.333333333336</v>
      </c>
      <c r="D34" s="153">
        <f>(C34-B34)*24</f>
        <v>17.666666666802485</v>
      </c>
      <c r="E34" s="123" t="s">
        <v>71</v>
      </c>
      <c r="F34" s="124"/>
      <c r="G34" s="125"/>
      <c r="H34" s="123"/>
      <c r="I34" s="123"/>
      <c r="J34" s="153">
        <f>(I34-H34)*24</f>
        <v>0</v>
      </c>
      <c r="K34" s="153">
        <f>(I34-H34)*24</f>
        <v>0</v>
      </c>
      <c r="L34" s="126"/>
      <c r="M34" s="127"/>
      <c r="N34" s="127"/>
      <c r="O34" s="128" t="s">
        <v>21</v>
      </c>
      <c r="P34" s="123"/>
      <c r="Q34" s="129">
        <f t="shared" si="3"/>
      </c>
      <c r="R34" s="129">
        <f t="shared" si="4"/>
        <v>1</v>
      </c>
      <c r="S34" s="129">
        <f t="shared" si="5"/>
      </c>
      <c r="T34" s="130">
        <f>SUM(Q34:S34)</f>
        <v>1</v>
      </c>
      <c r="U34" s="117"/>
      <c r="V34" s="117"/>
      <c r="W34" s="117"/>
    </row>
    <row r="35" spans="1:23" s="152" customFormat="1" ht="12.75">
      <c r="A35" s="141"/>
      <c r="B35" s="142"/>
      <c r="C35" s="142"/>
      <c r="D35" s="143">
        <f>SUM(D29:D34)</f>
        <v>105.44999999989523</v>
      </c>
      <c r="E35" s="144"/>
      <c r="F35" s="145"/>
      <c r="G35" s="146"/>
      <c r="H35" s="147"/>
      <c r="I35" s="147"/>
      <c r="J35" s="148">
        <f>SUM(J29:J34)</f>
        <v>14.550000000104774</v>
      </c>
      <c r="K35" s="148">
        <f>SUM(K29:K34)</f>
        <v>14.550000000104774</v>
      </c>
      <c r="L35" s="149"/>
      <c r="M35" s="150"/>
      <c r="N35" s="150"/>
      <c r="O35" s="151"/>
      <c r="P35" s="144"/>
      <c r="Q35" s="129">
        <f t="shared" si="3"/>
      </c>
      <c r="R35" s="129">
        <f t="shared" si="4"/>
      </c>
      <c r="S35" s="129">
        <f t="shared" si="5"/>
      </c>
      <c r="T35" s="130">
        <f t="shared" si="7"/>
        <v>0</v>
      </c>
      <c r="U35" s="30"/>
      <c r="V35" s="30"/>
      <c r="W35" s="30"/>
    </row>
    <row r="36" spans="1:23" s="132" customFormat="1" ht="12.75">
      <c r="A36" s="133"/>
      <c r="B36" s="134"/>
      <c r="C36" s="134"/>
      <c r="D36" s="135">
        <f>(C36-B36)*24</f>
        <v>0</v>
      </c>
      <c r="E36" s="134"/>
      <c r="F36" s="136"/>
      <c r="G36" s="137"/>
      <c r="H36" s="134">
        <v>44391.333333333336</v>
      </c>
      <c r="I36" s="134">
        <v>44391.38125</v>
      </c>
      <c r="J36" s="135">
        <f>(I36-H36)*24</f>
        <v>1.1499999999068677</v>
      </c>
      <c r="K36" s="135">
        <f>(I36-H36)*24</f>
        <v>1.1499999999068677</v>
      </c>
      <c r="L36" s="138" t="s">
        <v>23</v>
      </c>
      <c r="M36" s="139" t="s">
        <v>23</v>
      </c>
      <c r="N36" s="139" t="s">
        <v>23</v>
      </c>
      <c r="O36" s="140" t="s">
        <v>97</v>
      </c>
      <c r="P36" s="134" t="s">
        <v>99</v>
      </c>
      <c r="Q36" s="129">
        <f t="shared" si="3"/>
      </c>
      <c r="R36" s="129">
        <f t="shared" si="4"/>
      </c>
      <c r="S36" s="129">
        <f t="shared" si="5"/>
        <v>1</v>
      </c>
      <c r="T36" s="130">
        <f t="shared" si="7"/>
        <v>1</v>
      </c>
      <c r="U36" s="131"/>
      <c r="V36" s="131"/>
      <c r="W36" s="131"/>
    </row>
    <row r="37" spans="1:23" s="118" customFormat="1" ht="15.75" customHeight="1">
      <c r="A37" s="122">
        <v>23</v>
      </c>
      <c r="B37" s="123">
        <v>44391.38125</v>
      </c>
      <c r="C37" s="123">
        <v>44396.333333333336</v>
      </c>
      <c r="D37" s="153">
        <f>(C37-B37)*24</f>
        <v>118.85000000009313</v>
      </c>
      <c r="E37" s="123" t="s">
        <v>71</v>
      </c>
      <c r="F37" s="124"/>
      <c r="G37" s="125"/>
      <c r="H37" s="123"/>
      <c r="I37" s="123"/>
      <c r="J37" s="153">
        <f>(I37-H37)*24</f>
        <v>0</v>
      </c>
      <c r="K37" s="153">
        <f>(I37-H37)*24</f>
        <v>0</v>
      </c>
      <c r="L37" s="126"/>
      <c r="M37" s="127"/>
      <c r="N37" s="127"/>
      <c r="O37" s="128" t="s">
        <v>21</v>
      </c>
      <c r="P37" s="123"/>
      <c r="Q37" s="129">
        <f t="shared" si="3"/>
      </c>
      <c r="R37" s="129">
        <f t="shared" si="4"/>
        <v>1</v>
      </c>
      <c r="S37" s="129">
        <f t="shared" si="5"/>
      </c>
      <c r="T37" s="130">
        <f t="shared" si="7"/>
        <v>1</v>
      </c>
      <c r="U37" s="117"/>
      <c r="V37" s="117"/>
      <c r="W37" s="117"/>
    </row>
    <row r="38" spans="1:23" s="152" customFormat="1" ht="12.75">
      <c r="A38" s="141"/>
      <c r="B38" s="142"/>
      <c r="C38" s="142"/>
      <c r="D38" s="143">
        <f>SUM(D36:D37)</f>
        <v>118.85000000009313</v>
      </c>
      <c r="E38" s="144"/>
      <c r="F38" s="145"/>
      <c r="G38" s="146"/>
      <c r="H38" s="147"/>
      <c r="I38" s="147"/>
      <c r="J38" s="148">
        <f>SUM(J36:J37)</f>
        <v>1.1499999999068677</v>
      </c>
      <c r="K38" s="148">
        <f>SUM(K36:K37)</f>
        <v>1.1499999999068677</v>
      </c>
      <c r="L38" s="149"/>
      <c r="M38" s="150"/>
      <c r="N38" s="150"/>
      <c r="O38" s="151"/>
      <c r="P38" s="144"/>
      <c r="Q38" s="129">
        <f t="shared" si="3"/>
      </c>
      <c r="R38" s="129">
        <f t="shared" si="4"/>
      </c>
      <c r="S38" s="129">
        <f t="shared" si="5"/>
      </c>
      <c r="T38" s="130">
        <f t="shared" si="7"/>
        <v>0</v>
      </c>
      <c r="U38" s="30"/>
      <c r="V38" s="30"/>
      <c r="W38" s="30"/>
    </row>
    <row r="39" spans="1:23" s="118" customFormat="1" ht="15.75" customHeight="1">
      <c r="A39" s="122">
        <v>24</v>
      </c>
      <c r="B39" s="123">
        <v>44397.333333333336</v>
      </c>
      <c r="C39" s="123">
        <v>44397.52638888889</v>
      </c>
      <c r="D39" s="153">
        <f>(C39-B39)*24</f>
        <v>4.633333333244082</v>
      </c>
      <c r="E39" s="123" t="s">
        <v>89</v>
      </c>
      <c r="F39" s="124"/>
      <c r="G39" s="125"/>
      <c r="H39" s="123">
        <v>44397.52638888889</v>
      </c>
      <c r="I39" s="123">
        <v>44397.58541666667</v>
      </c>
      <c r="J39" s="153">
        <f>(I39-H39)*24</f>
        <v>1.4166666667442769</v>
      </c>
      <c r="K39" s="153">
        <f>(I39-H39)*24</f>
        <v>1.4166666667442769</v>
      </c>
      <c r="L39" s="126" t="s">
        <v>23</v>
      </c>
      <c r="M39" s="127" t="s">
        <v>23</v>
      </c>
      <c r="N39" s="127" t="s">
        <v>23</v>
      </c>
      <c r="O39" s="128" t="s">
        <v>17</v>
      </c>
      <c r="P39" s="123"/>
      <c r="Q39" s="129">
        <f t="shared" si="3"/>
        <v>1</v>
      </c>
      <c r="R39" s="129">
        <f t="shared" si="4"/>
      </c>
      <c r="S39" s="129">
        <f t="shared" si="5"/>
      </c>
      <c r="T39" s="130">
        <f t="shared" si="7"/>
        <v>1</v>
      </c>
      <c r="U39" s="117"/>
      <c r="V39" s="117"/>
      <c r="W39" s="117"/>
    </row>
    <row r="40" spans="1:23" s="132" customFormat="1" ht="12.75">
      <c r="A40" s="133">
        <v>25</v>
      </c>
      <c r="B40" s="134">
        <v>44397.58541666667</v>
      </c>
      <c r="C40" s="134">
        <v>44400.347916666666</v>
      </c>
      <c r="D40" s="135">
        <f>(C40-B40)*24</f>
        <v>66.29999999993015</v>
      </c>
      <c r="E40" s="134" t="s">
        <v>89</v>
      </c>
      <c r="F40" s="136"/>
      <c r="G40" s="137"/>
      <c r="H40" s="134">
        <v>44400.347916666666</v>
      </c>
      <c r="I40" s="134">
        <v>44400.37569444445</v>
      </c>
      <c r="J40" s="135">
        <f>(I40-H40)*24</f>
        <v>0.6666666667442769</v>
      </c>
      <c r="K40" s="135">
        <f>(I40-H40)*24</f>
        <v>0.6666666667442769</v>
      </c>
      <c r="L40" s="138" t="s">
        <v>23</v>
      </c>
      <c r="M40" s="139" t="s">
        <v>23</v>
      </c>
      <c r="N40" s="139" t="s">
        <v>23</v>
      </c>
      <c r="O40" s="140" t="s">
        <v>17</v>
      </c>
      <c r="P40" s="134"/>
      <c r="Q40" s="129">
        <f t="shared" si="3"/>
        <v>1</v>
      </c>
      <c r="R40" s="129">
        <f t="shared" si="4"/>
      </c>
      <c r="S40" s="129">
        <f t="shared" si="5"/>
      </c>
      <c r="T40" s="130">
        <f t="shared" si="7"/>
        <v>1</v>
      </c>
      <c r="U40" s="131"/>
      <c r="V40" s="131"/>
      <c r="W40" s="131"/>
    </row>
    <row r="41" spans="1:23" s="118" customFormat="1" ht="15.75" customHeight="1">
      <c r="A41" s="122">
        <v>26</v>
      </c>
      <c r="B41" s="123">
        <v>44400.37569444445</v>
      </c>
      <c r="C41" s="123">
        <v>44403.333333333336</v>
      </c>
      <c r="D41" s="153">
        <f>(C41-B41)*24</f>
        <v>70.98333333333721</v>
      </c>
      <c r="E41" s="123" t="s">
        <v>71</v>
      </c>
      <c r="F41" s="124"/>
      <c r="G41" s="125"/>
      <c r="H41" s="123"/>
      <c r="I41" s="123"/>
      <c r="J41" s="153">
        <f>(I41-H41)*24</f>
        <v>0</v>
      </c>
      <c r="K41" s="153">
        <f>(I41-H41)*24</f>
        <v>0</v>
      </c>
      <c r="L41" s="126"/>
      <c r="M41" s="127"/>
      <c r="N41" s="127"/>
      <c r="O41" s="128" t="s">
        <v>21</v>
      </c>
      <c r="P41" s="123"/>
      <c r="Q41" s="129">
        <f t="shared" si="3"/>
      </c>
      <c r="R41" s="129">
        <f t="shared" si="4"/>
        <v>1</v>
      </c>
      <c r="S41" s="129">
        <f t="shared" si="5"/>
      </c>
      <c r="T41" s="130">
        <f t="shared" si="7"/>
        <v>1</v>
      </c>
      <c r="U41" s="117"/>
      <c r="V41" s="117"/>
      <c r="W41" s="117"/>
    </row>
    <row r="42" spans="1:23" s="152" customFormat="1" ht="12.75">
      <c r="A42" s="141"/>
      <c r="B42" s="142"/>
      <c r="C42" s="142"/>
      <c r="D42" s="143">
        <f>SUM(D39:D41)</f>
        <v>141.91666666651145</v>
      </c>
      <c r="E42" s="144"/>
      <c r="F42" s="145"/>
      <c r="G42" s="146"/>
      <c r="H42" s="147"/>
      <c r="I42" s="147"/>
      <c r="J42" s="148">
        <f>SUM(J39:J41)</f>
        <v>2.0833333334885538</v>
      </c>
      <c r="K42" s="148">
        <f>SUM(K39:K41)</f>
        <v>2.0833333334885538</v>
      </c>
      <c r="L42" s="149"/>
      <c r="M42" s="150"/>
      <c r="N42" s="150"/>
      <c r="O42" s="151"/>
      <c r="P42" s="144"/>
      <c r="Q42" s="129">
        <f t="shared" si="3"/>
      </c>
      <c r="R42" s="129">
        <f t="shared" si="4"/>
      </c>
      <c r="S42" s="129">
        <f t="shared" si="5"/>
      </c>
      <c r="T42" s="130">
        <f t="shared" si="7"/>
        <v>0</v>
      </c>
      <c r="U42" s="30"/>
      <c r="V42" s="30"/>
      <c r="W42" s="30"/>
    </row>
    <row r="43" spans="1:23" s="118" customFormat="1" ht="15.75" customHeight="1">
      <c r="A43" s="122">
        <v>27</v>
      </c>
      <c r="B43" s="123">
        <v>44404.333333333336</v>
      </c>
      <c r="C43" s="123">
        <v>44404.93819444445</v>
      </c>
      <c r="D43" s="153">
        <f>(C43-B43)*24</f>
        <v>14.516666666662786</v>
      </c>
      <c r="E43" s="123" t="s">
        <v>90</v>
      </c>
      <c r="F43" s="124"/>
      <c r="G43" s="125"/>
      <c r="H43" s="123">
        <v>44404.93819444445</v>
      </c>
      <c r="I43" s="123">
        <v>44404.961805555555</v>
      </c>
      <c r="J43" s="153">
        <f>(I43-H43)*24</f>
        <v>0.566666666592937</v>
      </c>
      <c r="K43" s="178">
        <f aca="true" t="shared" si="8" ref="K43:K53">(I43-H43)*24</f>
        <v>0.566666666592937</v>
      </c>
      <c r="L43" s="126" t="s">
        <v>22</v>
      </c>
      <c r="M43" s="127" t="s">
        <v>22</v>
      </c>
      <c r="N43" s="127" t="s">
        <v>22</v>
      </c>
      <c r="O43" s="128" t="s">
        <v>17</v>
      </c>
      <c r="P43" s="123"/>
      <c r="Q43" s="129">
        <f t="shared" si="3"/>
        <v>1</v>
      </c>
      <c r="R43" s="129">
        <f t="shared" si="4"/>
      </c>
      <c r="S43" s="129">
        <f t="shared" si="5"/>
      </c>
      <c r="T43" s="130">
        <f t="shared" si="7"/>
        <v>1</v>
      </c>
      <c r="U43" s="117"/>
      <c r="V43" s="117"/>
      <c r="W43" s="117"/>
    </row>
    <row r="44" spans="1:23" s="132" customFormat="1" ht="12.75">
      <c r="A44" s="133">
        <v>28</v>
      </c>
      <c r="B44" s="134">
        <v>44404.961805555555</v>
      </c>
      <c r="C44" s="134">
        <v>44405.02638888889</v>
      </c>
      <c r="D44" s="135">
        <f>(C44-B44)*24</f>
        <v>1.5499999999883585</v>
      </c>
      <c r="E44" s="134" t="s">
        <v>78</v>
      </c>
      <c r="F44" s="136"/>
      <c r="G44" s="137"/>
      <c r="H44" s="134">
        <v>44405.02638888889</v>
      </c>
      <c r="I44" s="134">
        <v>44405.104166666664</v>
      </c>
      <c r="J44" s="135">
        <f>(I44-H44)*24</f>
        <v>1.866666666639503</v>
      </c>
      <c r="K44" s="135">
        <f t="shared" si="8"/>
        <v>1.866666666639503</v>
      </c>
      <c r="L44" s="138" t="s">
        <v>23</v>
      </c>
      <c r="M44" s="139" t="s">
        <v>23</v>
      </c>
      <c r="N44" s="139" t="s">
        <v>23</v>
      </c>
      <c r="O44" s="140" t="s">
        <v>17</v>
      </c>
      <c r="P44" s="134"/>
      <c r="Q44" s="129">
        <f t="shared" si="3"/>
        <v>1</v>
      </c>
      <c r="R44" s="129">
        <f t="shared" si="4"/>
      </c>
      <c r="S44" s="129">
        <f t="shared" si="5"/>
      </c>
      <c r="T44" s="130">
        <f>SUM(Q44:S44)</f>
        <v>1</v>
      </c>
      <c r="U44" s="131"/>
      <c r="V44" s="131"/>
      <c r="W44" s="131"/>
    </row>
    <row r="45" spans="1:23" s="118" customFormat="1" ht="15.75" customHeight="1">
      <c r="A45" s="122">
        <v>29</v>
      </c>
      <c r="B45" s="123">
        <v>44405.104166666664</v>
      </c>
      <c r="C45" s="123">
        <v>44405.80902777778</v>
      </c>
      <c r="D45" s="153">
        <f>(C45-B45)*24</f>
        <v>16.916666666802485</v>
      </c>
      <c r="E45" s="123" t="s">
        <v>90</v>
      </c>
      <c r="F45" s="124"/>
      <c r="G45" s="125"/>
      <c r="H45" s="123">
        <v>44405.80902777778</v>
      </c>
      <c r="I45" s="123">
        <v>44405.82916666667</v>
      </c>
      <c r="J45" s="153">
        <f>(I45-H45)*24</f>
        <v>0.48333333333721384</v>
      </c>
      <c r="K45" s="178">
        <f t="shared" si="8"/>
        <v>0.48333333333721384</v>
      </c>
      <c r="L45" s="126" t="s">
        <v>22</v>
      </c>
      <c r="M45" s="127" t="s">
        <v>22</v>
      </c>
      <c r="N45" s="127" t="s">
        <v>22</v>
      </c>
      <c r="O45" s="128" t="s">
        <v>17</v>
      </c>
      <c r="P45" s="123"/>
      <c r="Q45" s="129">
        <f t="shared" si="3"/>
        <v>1</v>
      </c>
      <c r="R45" s="129">
        <f t="shared" si="4"/>
      </c>
      <c r="S45" s="129">
        <f t="shared" si="5"/>
      </c>
      <c r="T45" s="130">
        <f>SUM(Q45:S45)</f>
        <v>1</v>
      </c>
      <c r="U45" s="117"/>
      <c r="V45" s="117"/>
      <c r="W45" s="117"/>
    </row>
    <row r="46" spans="1:23" s="132" customFormat="1" ht="12.75">
      <c r="A46" s="133">
        <v>30</v>
      </c>
      <c r="B46" s="134">
        <v>44405.82916666667</v>
      </c>
      <c r="C46" s="134">
        <v>44405.98888888889</v>
      </c>
      <c r="D46" s="135">
        <f aca="true" t="shared" si="9" ref="D46:D53">(C46-B46)*24</f>
        <v>3.833333333255723</v>
      </c>
      <c r="E46" s="134" t="s">
        <v>90</v>
      </c>
      <c r="F46" s="136"/>
      <c r="G46" s="137"/>
      <c r="H46" s="134">
        <v>44405.98888888889</v>
      </c>
      <c r="I46" s="134">
        <v>44406.009722222225</v>
      </c>
      <c r="J46" s="135">
        <f aca="true" t="shared" si="10" ref="J46:J53">(I46-H46)*24</f>
        <v>0.5000000000582077</v>
      </c>
      <c r="K46" s="135">
        <f t="shared" si="8"/>
        <v>0.5000000000582077</v>
      </c>
      <c r="L46" s="138" t="s">
        <v>22</v>
      </c>
      <c r="M46" s="139" t="s">
        <v>22</v>
      </c>
      <c r="N46" s="139" t="s">
        <v>22</v>
      </c>
      <c r="O46" s="140" t="s">
        <v>17</v>
      </c>
      <c r="P46" s="134"/>
      <c r="Q46" s="129">
        <f t="shared" si="3"/>
        <v>1</v>
      </c>
      <c r="R46" s="129">
        <f t="shared" si="4"/>
      </c>
      <c r="S46" s="129">
        <f t="shared" si="5"/>
      </c>
      <c r="T46" s="130">
        <f aca="true" t="shared" si="11" ref="T46:T54">SUM(Q46:S46)</f>
        <v>1</v>
      </c>
      <c r="U46" s="131"/>
      <c r="V46" s="131"/>
      <c r="W46" s="131"/>
    </row>
    <row r="47" spans="1:23" s="118" customFormat="1" ht="15.75" customHeight="1">
      <c r="A47" s="122">
        <v>31</v>
      </c>
      <c r="B47" s="123">
        <v>44406.009722222225</v>
      </c>
      <c r="C47" s="123">
        <v>44406.464583333334</v>
      </c>
      <c r="D47" s="153">
        <f t="shared" si="9"/>
        <v>10.916666666627862</v>
      </c>
      <c r="E47" s="123" t="s">
        <v>89</v>
      </c>
      <c r="F47" s="124"/>
      <c r="G47" s="125"/>
      <c r="H47" s="123">
        <v>44406.464583333334</v>
      </c>
      <c r="I47" s="123">
        <v>44406.48472222222</v>
      </c>
      <c r="J47" s="153">
        <f t="shared" si="10"/>
        <v>0.48333333333721384</v>
      </c>
      <c r="K47" s="153">
        <f t="shared" si="8"/>
        <v>0.48333333333721384</v>
      </c>
      <c r="L47" s="126" t="s">
        <v>23</v>
      </c>
      <c r="M47" s="127" t="s">
        <v>23</v>
      </c>
      <c r="N47" s="127" t="s">
        <v>23</v>
      </c>
      <c r="O47" s="128" t="s">
        <v>17</v>
      </c>
      <c r="P47" s="123"/>
      <c r="Q47" s="129">
        <f t="shared" si="3"/>
        <v>1</v>
      </c>
      <c r="R47" s="129">
        <f t="shared" si="4"/>
      </c>
      <c r="S47" s="129">
        <f t="shared" si="5"/>
      </c>
      <c r="T47" s="130">
        <f t="shared" si="11"/>
        <v>1</v>
      </c>
      <c r="U47" s="117"/>
      <c r="V47" s="117"/>
      <c r="W47" s="117"/>
    </row>
    <row r="48" spans="1:23" s="118" customFormat="1" ht="15.75" customHeight="1">
      <c r="A48" s="133">
        <v>32</v>
      </c>
      <c r="B48" s="134">
        <v>44406.48472222222</v>
      </c>
      <c r="C48" s="134">
        <v>44406.88055555556</v>
      </c>
      <c r="D48" s="135">
        <f t="shared" si="9"/>
        <v>9.500000000058208</v>
      </c>
      <c r="E48" s="134" t="s">
        <v>89</v>
      </c>
      <c r="F48" s="136"/>
      <c r="G48" s="137"/>
      <c r="H48" s="134">
        <v>44406.88055555556</v>
      </c>
      <c r="I48" s="134">
        <v>44406.9</v>
      </c>
      <c r="J48" s="135">
        <f t="shared" si="10"/>
        <v>0.46666666661622</v>
      </c>
      <c r="K48" s="135">
        <f>(I48-H48)*24</f>
        <v>0.46666666661622</v>
      </c>
      <c r="L48" s="138" t="s">
        <v>23</v>
      </c>
      <c r="M48" s="139" t="s">
        <v>23</v>
      </c>
      <c r="N48" s="139" t="s">
        <v>23</v>
      </c>
      <c r="O48" s="140" t="s">
        <v>17</v>
      </c>
      <c r="P48" s="134"/>
      <c r="Q48" s="180">
        <f t="shared" si="3"/>
        <v>1</v>
      </c>
      <c r="R48" s="180">
        <f t="shared" si="4"/>
      </c>
      <c r="S48" s="180">
        <f t="shared" si="5"/>
      </c>
      <c r="T48" s="181">
        <f t="shared" si="11"/>
        <v>1</v>
      </c>
      <c r="U48" s="117"/>
      <c r="V48" s="117"/>
      <c r="W48" s="117"/>
    </row>
    <row r="49" spans="1:23" s="132" customFormat="1" ht="12.75">
      <c r="A49" s="122">
        <v>33</v>
      </c>
      <c r="B49" s="123">
        <v>44406.9</v>
      </c>
      <c r="C49" s="123">
        <v>44407.23472222222</v>
      </c>
      <c r="D49" s="153">
        <f>(C49-B49)*24</f>
        <v>8.033333333325572</v>
      </c>
      <c r="E49" s="123" t="s">
        <v>89</v>
      </c>
      <c r="F49" s="124"/>
      <c r="G49" s="125"/>
      <c r="H49" s="123">
        <v>44407.23472222222</v>
      </c>
      <c r="I49" s="123">
        <v>44407.26180555556</v>
      </c>
      <c r="J49" s="153">
        <f>(I49-H49)*24</f>
        <v>0.6500000000232831</v>
      </c>
      <c r="K49" s="153">
        <f>(I49-H49)*24</f>
        <v>0.6500000000232831</v>
      </c>
      <c r="L49" s="126" t="s">
        <v>23</v>
      </c>
      <c r="M49" s="127" t="s">
        <v>23</v>
      </c>
      <c r="N49" s="127" t="s">
        <v>23</v>
      </c>
      <c r="O49" s="128" t="s">
        <v>17</v>
      </c>
      <c r="P49" s="123"/>
      <c r="Q49" s="182">
        <f t="shared" si="3"/>
        <v>1</v>
      </c>
      <c r="R49" s="182">
        <f t="shared" si="4"/>
      </c>
      <c r="S49" s="182">
        <f t="shared" si="5"/>
      </c>
      <c r="T49" s="183">
        <f>SUM(Q49:S49)</f>
        <v>1</v>
      </c>
      <c r="U49" s="131"/>
      <c r="V49" s="131"/>
      <c r="W49" s="131"/>
    </row>
    <row r="50" spans="1:23" s="118" customFormat="1" ht="15.75" customHeight="1">
      <c r="A50" s="133">
        <v>34</v>
      </c>
      <c r="B50" s="134">
        <v>44407.26180555556</v>
      </c>
      <c r="C50" s="134">
        <v>44407.43958333333</v>
      </c>
      <c r="D50" s="135">
        <f>(C50-B50)*24</f>
        <v>4.2666666666045785</v>
      </c>
      <c r="E50" s="134" t="s">
        <v>91</v>
      </c>
      <c r="F50" s="136"/>
      <c r="G50" s="137"/>
      <c r="H50" s="134">
        <v>44407.43958333333</v>
      </c>
      <c r="I50" s="134">
        <v>44407.455555555556</v>
      </c>
      <c r="J50" s="135">
        <f>(I50-H50)*24</f>
        <v>0.3833333333604969</v>
      </c>
      <c r="K50" s="135">
        <f>(I50-H50)*24</f>
        <v>0.3833333333604969</v>
      </c>
      <c r="L50" s="138" t="s">
        <v>23</v>
      </c>
      <c r="M50" s="139" t="s">
        <v>23</v>
      </c>
      <c r="N50" s="139" t="s">
        <v>23</v>
      </c>
      <c r="O50" s="140" t="s">
        <v>17</v>
      </c>
      <c r="P50" s="134"/>
      <c r="Q50" s="180">
        <f t="shared" si="3"/>
        <v>1</v>
      </c>
      <c r="R50" s="180">
        <f t="shared" si="4"/>
      </c>
      <c r="S50" s="180">
        <f t="shared" si="5"/>
      </c>
      <c r="T50" s="181">
        <f>SUM(Q50:S50)</f>
        <v>1</v>
      </c>
      <c r="U50" s="117"/>
      <c r="V50" s="117"/>
      <c r="W50" s="117"/>
    </row>
    <row r="51" spans="1:23" s="132" customFormat="1" ht="12.75">
      <c r="A51" s="122">
        <v>35</v>
      </c>
      <c r="B51" s="123">
        <v>44407.455555555556</v>
      </c>
      <c r="C51" s="123">
        <v>44407.57708333333</v>
      </c>
      <c r="D51" s="153">
        <f>(C51-B51)*24</f>
        <v>2.916666666569654</v>
      </c>
      <c r="E51" s="123" t="s">
        <v>89</v>
      </c>
      <c r="F51" s="124"/>
      <c r="G51" s="125"/>
      <c r="H51" s="123">
        <v>44407.57708333333</v>
      </c>
      <c r="I51" s="123">
        <v>44407.61666666667</v>
      </c>
      <c r="J51" s="153">
        <f>(I51-H51)*24</f>
        <v>0.9500000001280569</v>
      </c>
      <c r="K51" s="153">
        <f>(I51-H51)*24</f>
        <v>0.9500000001280569</v>
      </c>
      <c r="L51" s="126" t="s">
        <v>23</v>
      </c>
      <c r="M51" s="127" t="s">
        <v>23</v>
      </c>
      <c r="N51" s="127" t="s">
        <v>23</v>
      </c>
      <c r="O51" s="128" t="s">
        <v>17</v>
      </c>
      <c r="P51" s="123"/>
      <c r="Q51" s="182">
        <f t="shared" si="3"/>
        <v>1</v>
      </c>
      <c r="R51" s="182">
        <f t="shared" si="4"/>
      </c>
      <c r="S51" s="182">
        <f t="shared" si="5"/>
      </c>
      <c r="T51" s="183">
        <f>SUM(Q51:S51)</f>
        <v>1</v>
      </c>
      <c r="U51" s="131"/>
      <c r="V51" s="131"/>
      <c r="W51" s="131"/>
    </row>
    <row r="52" spans="1:23" s="118" customFormat="1" ht="15.75" customHeight="1">
      <c r="A52" s="133">
        <v>36</v>
      </c>
      <c r="B52" s="134">
        <v>44407.61666666667</v>
      </c>
      <c r="C52" s="134">
        <v>44409.50069444445</v>
      </c>
      <c r="D52" s="135">
        <f>(C52-B52)*24</f>
        <v>45.21666666667443</v>
      </c>
      <c r="E52" s="134" t="s">
        <v>92</v>
      </c>
      <c r="F52" s="136"/>
      <c r="G52" s="137"/>
      <c r="H52" s="134">
        <v>44409.50069444445</v>
      </c>
      <c r="I52" s="134">
        <v>44409.589583333334</v>
      </c>
      <c r="J52" s="135">
        <f>(I52-H52)*24</f>
        <v>2.1333333333022892</v>
      </c>
      <c r="K52" s="135">
        <f>(I52-H52)*24</f>
        <v>2.1333333333022892</v>
      </c>
      <c r="L52" s="138" t="s">
        <v>23</v>
      </c>
      <c r="M52" s="139" t="s">
        <v>23</v>
      </c>
      <c r="N52" s="139" t="s">
        <v>23</v>
      </c>
      <c r="O52" s="140" t="s">
        <v>17</v>
      </c>
      <c r="P52" s="134"/>
      <c r="Q52" s="180">
        <f t="shared" si="3"/>
        <v>1</v>
      </c>
      <c r="R52" s="180">
        <f t="shared" si="4"/>
      </c>
      <c r="S52" s="180">
        <f t="shared" si="5"/>
      </c>
      <c r="T52" s="181">
        <f>SUM(Q52:S52)</f>
        <v>1</v>
      </c>
      <c r="U52" s="117"/>
      <c r="V52" s="117"/>
      <c r="W52" s="117"/>
    </row>
    <row r="53" spans="1:23" s="132" customFormat="1" ht="12.75">
      <c r="A53" s="122">
        <v>37</v>
      </c>
      <c r="B53" s="123">
        <v>44409.589583333334</v>
      </c>
      <c r="C53" s="123">
        <v>44411</v>
      </c>
      <c r="D53" s="153">
        <f t="shared" si="9"/>
        <v>33.84999999997672</v>
      </c>
      <c r="E53" s="123" t="s">
        <v>71</v>
      </c>
      <c r="F53" s="124"/>
      <c r="G53" s="125"/>
      <c r="H53" s="123"/>
      <c r="I53" s="123"/>
      <c r="J53" s="153">
        <f t="shared" si="10"/>
        <v>0</v>
      </c>
      <c r="K53" s="153">
        <f t="shared" si="8"/>
        <v>0</v>
      </c>
      <c r="L53" s="126"/>
      <c r="M53" s="127"/>
      <c r="N53" s="127"/>
      <c r="O53" s="128" t="s">
        <v>21</v>
      </c>
      <c r="P53" s="123"/>
      <c r="Q53" s="182">
        <f t="shared" si="3"/>
      </c>
      <c r="R53" s="182">
        <f t="shared" si="4"/>
        <v>1</v>
      </c>
      <c r="S53" s="182">
        <f t="shared" si="5"/>
      </c>
      <c r="T53" s="183">
        <f t="shared" si="11"/>
        <v>1</v>
      </c>
      <c r="U53" s="131"/>
      <c r="V53" s="131"/>
      <c r="W53" s="131"/>
    </row>
    <row r="54" spans="1:23" s="152" customFormat="1" ht="12.75">
      <c r="A54" s="141"/>
      <c r="B54" s="142"/>
      <c r="C54" s="142"/>
      <c r="D54" s="143">
        <f>SUM(D43:D53)</f>
        <v>151.51666666654637</v>
      </c>
      <c r="E54" s="144"/>
      <c r="F54" s="145"/>
      <c r="G54" s="146"/>
      <c r="H54" s="147"/>
      <c r="I54" s="147"/>
      <c r="J54" s="148">
        <f>SUM(J43:J53)</f>
        <v>8.483333333395422</v>
      </c>
      <c r="K54" s="148">
        <f>SUM(K43:K53)</f>
        <v>8.483333333395422</v>
      </c>
      <c r="L54" s="149"/>
      <c r="M54" s="150"/>
      <c r="N54" s="150"/>
      <c r="O54" s="151"/>
      <c r="P54" s="144"/>
      <c r="Q54" s="129">
        <f t="shared" si="3"/>
      </c>
      <c r="R54" s="129">
        <f t="shared" si="4"/>
      </c>
      <c r="S54" s="129">
        <f t="shared" si="5"/>
      </c>
      <c r="T54" s="130">
        <f t="shared" si="11"/>
        <v>0</v>
      </c>
      <c r="U54" s="30"/>
      <c r="V54" s="30"/>
      <c r="W54" s="30"/>
    </row>
    <row r="55" spans="1:23" s="132" customFormat="1" ht="12.75">
      <c r="A55" s="133">
        <v>38</v>
      </c>
      <c r="B55" s="134">
        <v>44452.333333333336</v>
      </c>
      <c r="C55" s="134">
        <v>44453.868055555555</v>
      </c>
      <c r="D55" s="135">
        <f>(C55-B55)*24</f>
        <v>36.83333333325572</v>
      </c>
      <c r="E55" s="134" t="s">
        <v>89</v>
      </c>
      <c r="F55" s="136"/>
      <c r="G55" s="137"/>
      <c r="H55" s="134">
        <v>44453.868055555555</v>
      </c>
      <c r="I55" s="134">
        <v>44453.89027777778</v>
      </c>
      <c r="J55" s="135">
        <f>(I55-H55)*24</f>
        <v>0.5333333333255723</v>
      </c>
      <c r="K55" s="135">
        <f aca="true" t="shared" si="12" ref="K55:K64">(I55-H55)*24</f>
        <v>0.5333333333255723</v>
      </c>
      <c r="L55" s="138" t="s">
        <v>23</v>
      </c>
      <c r="M55" s="139" t="s">
        <v>23</v>
      </c>
      <c r="N55" s="139" t="s">
        <v>23</v>
      </c>
      <c r="O55" s="140" t="s">
        <v>17</v>
      </c>
      <c r="P55" s="134"/>
      <c r="Q55" s="129">
        <f t="shared" si="3"/>
        <v>1</v>
      </c>
      <c r="R55" s="129">
        <f t="shared" si="4"/>
      </c>
      <c r="S55" s="129">
        <f t="shared" si="5"/>
      </c>
      <c r="T55" s="130">
        <f>SUM(Q55:S55)</f>
        <v>1</v>
      </c>
      <c r="U55" s="131"/>
      <c r="V55" s="131"/>
      <c r="W55" s="131"/>
    </row>
    <row r="56" spans="1:23" s="118" customFormat="1" ht="15.75" customHeight="1">
      <c r="A56" s="122">
        <v>39</v>
      </c>
      <c r="B56" s="123">
        <v>44453.89027777778</v>
      </c>
      <c r="C56" s="123">
        <v>44454.20763888889</v>
      </c>
      <c r="D56" s="153">
        <f>(C56-B56)*24</f>
        <v>7.616666666697711</v>
      </c>
      <c r="E56" s="123" t="s">
        <v>93</v>
      </c>
      <c r="F56" s="124"/>
      <c r="G56" s="125"/>
      <c r="H56" s="123">
        <v>44454.20763888889</v>
      </c>
      <c r="I56" s="123">
        <v>44454.22638888889</v>
      </c>
      <c r="J56" s="153">
        <f>(I56-H56)*24</f>
        <v>0.4500000000698492</v>
      </c>
      <c r="K56" s="153">
        <f t="shared" si="12"/>
        <v>0.4500000000698492</v>
      </c>
      <c r="L56" s="126" t="s">
        <v>80</v>
      </c>
      <c r="M56" s="127" t="s">
        <v>80</v>
      </c>
      <c r="N56" s="127" t="s">
        <v>80</v>
      </c>
      <c r="O56" s="128" t="s">
        <v>17</v>
      </c>
      <c r="P56" s="123"/>
      <c r="Q56" s="129">
        <f t="shared" si="3"/>
        <v>1</v>
      </c>
      <c r="R56" s="129">
        <f t="shared" si="4"/>
      </c>
      <c r="S56" s="129">
        <f t="shared" si="5"/>
      </c>
      <c r="T56" s="130">
        <f>SUM(Q56:S56)</f>
        <v>1</v>
      </c>
      <c r="U56" s="117"/>
      <c r="V56" s="117"/>
      <c r="W56" s="117"/>
    </row>
    <row r="57" spans="1:23" s="118" customFormat="1" ht="15.75" customHeight="1">
      <c r="A57" s="133">
        <v>40</v>
      </c>
      <c r="B57" s="134">
        <v>44454.22638888889</v>
      </c>
      <c r="C57" s="134">
        <v>44455.558333333334</v>
      </c>
      <c r="D57" s="135">
        <f>(C57-B57)*24</f>
        <v>31.96666666661622</v>
      </c>
      <c r="E57" s="134" t="s">
        <v>95</v>
      </c>
      <c r="F57" s="136"/>
      <c r="G57" s="137"/>
      <c r="H57" s="134">
        <v>44455.558333333334</v>
      </c>
      <c r="I57" s="134">
        <v>44455.67569444444</v>
      </c>
      <c r="J57" s="135">
        <f>(I57-H57)*24</f>
        <v>2.816666666592937</v>
      </c>
      <c r="K57" s="135"/>
      <c r="L57" s="138"/>
      <c r="M57" s="139"/>
      <c r="N57" s="139"/>
      <c r="O57" s="140"/>
      <c r="P57" s="134"/>
      <c r="Q57" s="180">
        <f t="shared" si="3"/>
      </c>
      <c r="R57" s="180">
        <f t="shared" si="4"/>
      </c>
      <c r="S57" s="180">
        <f t="shared" si="5"/>
      </c>
      <c r="T57" s="181">
        <f>SUM(Q57:S57)</f>
        <v>0</v>
      </c>
      <c r="U57" s="117"/>
      <c r="V57" s="117"/>
      <c r="W57" s="117"/>
    </row>
    <row r="58" spans="1:23" s="118" customFormat="1" ht="15.75" customHeight="1">
      <c r="A58" s="133"/>
      <c r="B58" s="134"/>
      <c r="C58" s="134"/>
      <c r="D58" s="135"/>
      <c r="E58" s="134"/>
      <c r="F58" s="136"/>
      <c r="G58" s="137"/>
      <c r="H58" s="184">
        <v>44455.558333333334</v>
      </c>
      <c r="I58" s="184">
        <v>44455.63402777778</v>
      </c>
      <c r="J58" s="185"/>
      <c r="K58" s="185">
        <f>(I58-H58)*24</f>
        <v>1.8166666666511446</v>
      </c>
      <c r="L58" s="186" t="s">
        <v>22</v>
      </c>
      <c r="M58" s="187" t="s">
        <v>22</v>
      </c>
      <c r="N58" s="187" t="s">
        <v>22</v>
      </c>
      <c r="O58" s="188" t="s">
        <v>17</v>
      </c>
      <c r="P58" s="184"/>
      <c r="Q58" s="180">
        <f t="shared" si="3"/>
        <v>1</v>
      </c>
      <c r="R58" s="180">
        <f t="shared" si="4"/>
      </c>
      <c r="S58" s="180">
        <f t="shared" si="5"/>
      </c>
      <c r="T58" s="181">
        <f>SUM(Q58:S58)</f>
        <v>1</v>
      </c>
      <c r="U58" s="117"/>
      <c r="V58" s="117"/>
      <c r="W58" s="117"/>
    </row>
    <row r="59" spans="1:23" s="118" customFormat="1" ht="15.75" customHeight="1">
      <c r="A59" s="133"/>
      <c r="B59" s="134"/>
      <c r="C59" s="134"/>
      <c r="D59" s="135"/>
      <c r="E59" s="134"/>
      <c r="F59" s="136"/>
      <c r="G59" s="137"/>
      <c r="H59" s="189">
        <v>44455.63402777778</v>
      </c>
      <c r="I59" s="189">
        <v>44455.67569444444</v>
      </c>
      <c r="J59" s="190"/>
      <c r="K59" s="190">
        <f>(I59-H59)*24</f>
        <v>0.9999999999417923</v>
      </c>
      <c r="L59" s="191" t="s">
        <v>80</v>
      </c>
      <c r="M59" s="192" t="s">
        <v>80</v>
      </c>
      <c r="N59" s="192" t="s">
        <v>80</v>
      </c>
      <c r="O59" s="193" t="s">
        <v>97</v>
      </c>
      <c r="P59" s="189"/>
      <c r="Q59" s="180">
        <f t="shared" si="3"/>
      </c>
      <c r="R59" s="180">
        <f t="shared" si="4"/>
      </c>
      <c r="S59" s="180">
        <f t="shared" si="5"/>
        <v>1</v>
      </c>
      <c r="T59" s="181">
        <f>SUM(Q59:S59)</f>
        <v>1</v>
      </c>
      <c r="U59" s="117"/>
      <c r="V59" s="117"/>
      <c r="W59" s="117"/>
    </row>
    <row r="60" spans="1:23" s="132" customFormat="1" ht="12.75">
      <c r="A60" s="122">
        <v>41</v>
      </c>
      <c r="B60" s="123">
        <v>44455.67569444444</v>
      </c>
      <c r="C60" s="123">
        <v>44455.76875</v>
      </c>
      <c r="D60" s="153">
        <f>(C60-B60)*24</f>
        <v>2.233333333453629</v>
      </c>
      <c r="E60" s="123" t="s">
        <v>94</v>
      </c>
      <c r="F60" s="124"/>
      <c r="G60" s="125"/>
      <c r="H60" s="123">
        <v>44455.76875</v>
      </c>
      <c r="I60" s="123">
        <v>44455.78402777778</v>
      </c>
      <c r="J60" s="153">
        <f>(I60-H60)*24</f>
        <v>0.3666666666395031</v>
      </c>
      <c r="K60" s="153">
        <f t="shared" si="12"/>
        <v>0.3666666666395031</v>
      </c>
      <c r="L60" s="126" t="s">
        <v>23</v>
      </c>
      <c r="M60" s="127" t="s">
        <v>23</v>
      </c>
      <c r="N60" s="127" t="s">
        <v>23</v>
      </c>
      <c r="O60" s="128" t="s">
        <v>17</v>
      </c>
      <c r="P60" s="123"/>
      <c r="Q60" s="182">
        <f t="shared" si="3"/>
        <v>1</v>
      </c>
      <c r="R60" s="182">
        <f t="shared" si="4"/>
      </c>
      <c r="S60" s="182">
        <f t="shared" si="5"/>
      </c>
      <c r="T60" s="183">
        <f>SUM(Q60:S60)</f>
        <v>1</v>
      </c>
      <c r="U60" s="131"/>
      <c r="V60" s="131"/>
      <c r="W60" s="131"/>
    </row>
    <row r="61" spans="1:23" s="118" customFormat="1" ht="15.75" customHeight="1">
      <c r="A61" s="133">
        <v>42</v>
      </c>
      <c r="B61" s="134">
        <v>44455.78402777778</v>
      </c>
      <c r="C61" s="134">
        <v>44456.69861111111</v>
      </c>
      <c r="D61" s="135">
        <f>(C61-B61)*24</f>
        <v>21.949999999953434</v>
      </c>
      <c r="E61" s="134" t="s">
        <v>98</v>
      </c>
      <c r="F61" s="136"/>
      <c r="G61" s="137"/>
      <c r="H61" s="134">
        <v>44456.69861111111</v>
      </c>
      <c r="I61" s="134">
        <v>44456.71597222222</v>
      </c>
      <c r="J61" s="135">
        <f>(I61-H61)*24</f>
        <v>0.41666666662786156</v>
      </c>
      <c r="K61" s="135">
        <f t="shared" si="12"/>
        <v>0.41666666662786156</v>
      </c>
      <c r="L61" s="138" t="s">
        <v>72</v>
      </c>
      <c r="M61" s="139" t="s">
        <v>72</v>
      </c>
      <c r="N61" s="139" t="s">
        <v>72</v>
      </c>
      <c r="O61" s="140" t="s">
        <v>17</v>
      </c>
      <c r="P61" s="134"/>
      <c r="Q61" s="180">
        <f t="shared" si="3"/>
        <v>1</v>
      </c>
      <c r="R61" s="180">
        <f t="shared" si="4"/>
      </c>
      <c r="S61" s="180">
        <f t="shared" si="5"/>
      </c>
      <c r="T61" s="181">
        <f>SUM(Q61:S61)</f>
        <v>1</v>
      </c>
      <c r="U61" s="117"/>
      <c r="V61" s="117"/>
      <c r="W61" s="117"/>
    </row>
    <row r="62" spans="1:23" s="132" customFormat="1" ht="12.75">
      <c r="A62" s="122">
        <v>43</v>
      </c>
      <c r="B62" s="123">
        <v>44456.71597222222</v>
      </c>
      <c r="C62" s="123">
        <v>44458.43819444445</v>
      </c>
      <c r="D62" s="153">
        <f>(C62-B62)*24</f>
        <v>41.333333333430346</v>
      </c>
      <c r="E62" s="123" t="s">
        <v>94</v>
      </c>
      <c r="F62" s="124"/>
      <c r="G62" s="125"/>
      <c r="H62" s="123">
        <v>44458.43819444445</v>
      </c>
      <c r="I62" s="123">
        <v>44458.46041666667</v>
      </c>
      <c r="J62" s="153">
        <f>(I62-H62)*24</f>
        <v>0.5333333333255723</v>
      </c>
      <c r="K62" s="153">
        <f t="shared" si="12"/>
        <v>0.5333333333255723</v>
      </c>
      <c r="L62" s="126" t="s">
        <v>23</v>
      </c>
      <c r="M62" s="127" t="s">
        <v>23</v>
      </c>
      <c r="N62" s="127" t="s">
        <v>23</v>
      </c>
      <c r="O62" s="128" t="s">
        <v>17</v>
      </c>
      <c r="P62" s="123"/>
      <c r="Q62" s="182">
        <f t="shared" si="3"/>
        <v>1</v>
      </c>
      <c r="R62" s="182">
        <f t="shared" si="4"/>
      </c>
      <c r="S62" s="182">
        <f t="shared" si="5"/>
      </c>
      <c r="T62" s="183">
        <f aca="true" t="shared" si="13" ref="T62:T71">SUM(Q62:S62)</f>
        <v>1</v>
      </c>
      <c r="U62" s="131"/>
      <c r="V62" s="131"/>
      <c r="W62" s="131"/>
    </row>
    <row r="63" spans="1:23" s="118" customFormat="1" ht="15.75" customHeight="1">
      <c r="A63" s="133">
        <v>44</v>
      </c>
      <c r="B63" s="134">
        <v>44458.46041666667</v>
      </c>
      <c r="C63" s="134">
        <v>44458.875</v>
      </c>
      <c r="D63" s="135">
        <f>(C63-B63)*24</f>
        <v>9.949999999953434</v>
      </c>
      <c r="E63" s="134" t="s">
        <v>94</v>
      </c>
      <c r="F63" s="136"/>
      <c r="G63" s="137"/>
      <c r="H63" s="134">
        <v>44458.875</v>
      </c>
      <c r="I63" s="134">
        <v>44458.895833333336</v>
      </c>
      <c r="J63" s="135">
        <f>(I63-H63)*24</f>
        <v>0.5000000000582077</v>
      </c>
      <c r="K63" s="135">
        <f t="shared" si="12"/>
        <v>0.5000000000582077</v>
      </c>
      <c r="L63" s="138" t="s">
        <v>23</v>
      </c>
      <c r="M63" s="139" t="s">
        <v>23</v>
      </c>
      <c r="N63" s="139" t="s">
        <v>23</v>
      </c>
      <c r="O63" s="140" t="s">
        <v>17</v>
      </c>
      <c r="P63" s="134"/>
      <c r="Q63" s="180">
        <f t="shared" si="3"/>
        <v>1</v>
      </c>
      <c r="R63" s="180">
        <f t="shared" si="4"/>
      </c>
      <c r="S63" s="180">
        <f t="shared" si="5"/>
      </c>
      <c r="T63" s="181">
        <f t="shared" si="13"/>
        <v>1</v>
      </c>
      <c r="U63" s="117"/>
      <c r="V63" s="117"/>
      <c r="W63" s="117"/>
    </row>
    <row r="64" spans="1:23" s="132" customFormat="1" ht="12.75">
      <c r="A64" s="122">
        <v>45</v>
      </c>
      <c r="B64" s="123">
        <v>44458.895833333336</v>
      </c>
      <c r="C64" s="123">
        <v>44459.333333333336</v>
      </c>
      <c r="D64" s="153">
        <f>(C64-B64)*24</f>
        <v>10.5</v>
      </c>
      <c r="E64" s="123" t="s">
        <v>71</v>
      </c>
      <c r="F64" s="124"/>
      <c r="G64" s="125"/>
      <c r="H64" s="123"/>
      <c r="I64" s="123"/>
      <c r="J64" s="153">
        <f>(I64-H64)*24</f>
        <v>0</v>
      </c>
      <c r="K64" s="153">
        <f t="shared" si="12"/>
        <v>0</v>
      </c>
      <c r="L64" s="126"/>
      <c r="M64" s="127"/>
      <c r="N64" s="127"/>
      <c r="O64" s="128" t="s">
        <v>21</v>
      </c>
      <c r="P64" s="123"/>
      <c r="Q64" s="182">
        <f t="shared" si="3"/>
      </c>
      <c r="R64" s="182">
        <f t="shared" si="4"/>
        <v>1</v>
      </c>
      <c r="S64" s="182">
        <f t="shared" si="5"/>
      </c>
      <c r="T64" s="183">
        <f t="shared" si="13"/>
        <v>1</v>
      </c>
      <c r="U64" s="131"/>
      <c r="V64" s="131"/>
      <c r="W64" s="131"/>
    </row>
    <row r="65" spans="1:23" s="152" customFormat="1" ht="12.75">
      <c r="A65" s="141"/>
      <c r="B65" s="142"/>
      <c r="C65" s="142"/>
      <c r="D65" s="143">
        <f>SUM(D55:D64)</f>
        <v>162.3833333333605</v>
      </c>
      <c r="E65" s="144"/>
      <c r="F65" s="145"/>
      <c r="G65" s="146"/>
      <c r="H65" s="147"/>
      <c r="I65" s="147"/>
      <c r="J65" s="148">
        <f>SUM(J55:J64)</f>
        <v>5.616666666639503</v>
      </c>
      <c r="K65" s="148">
        <f>SUM(K55:K64)</f>
        <v>5.616666666639503</v>
      </c>
      <c r="L65" s="149"/>
      <c r="M65" s="150"/>
      <c r="N65" s="150"/>
      <c r="O65" s="151"/>
      <c r="P65" s="144"/>
      <c r="Q65" s="129">
        <f t="shared" si="3"/>
      </c>
      <c r="R65" s="129">
        <f t="shared" si="4"/>
      </c>
      <c r="S65" s="129">
        <f t="shared" si="5"/>
      </c>
      <c r="T65" s="130">
        <f t="shared" si="13"/>
        <v>0</v>
      </c>
      <c r="U65" s="30"/>
      <c r="V65" s="30"/>
      <c r="W65" s="30"/>
    </row>
    <row r="66" spans="1:23" s="118" customFormat="1" ht="15.75" customHeight="1">
      <c r="A66" s="122">
        <v>46</v>
      </c>
      <c r="B66" s="123">
        <v>44460.333333333336</v>
      </c>
      <c r="C66" s="123">
        <v>44463.12222222222</v>
      </c>
      <c r="D66" s="153">
        <f>(C66-B66)*24</f>
        <v>66.93333333323244</v>
      </c>
      <c r="E66" s="123" t="s">
        <v>96</v>
      </c>
      <c r="F66" s="124"/>
      <c r="G66" s="125"/>
      <c r="H66" s="123">
        <v>44463.12222222222</v>
      </c>
      <c r="I66" s="123">
        <v>44463.24930555555</v>
      </c>
      <c r="J66" s="153">
        <f>(I66-H66)*24</f>
        <v>3.0499999999883585</v>
      </c>
      <c r="K66" s="153">
        <f>(I66-H66)*24</f>
        <v>3.0499999999883585</v>
      </c>
      <c r="L66" s="126" t="s">
        <v>22</v>
      </c>
      <c r="M66" s="127" t="s">
        <v>22</v>
      </c>
      <c r="N66" s="127" t="s">
        <v>22</v>
      </c>
      <c r="O66" s="128" t="s">
        <v>17</v>
      </c>
      <c r="P66" s="123"/>
      <c r="Q66" s="129">
        <f t="shared" si="3"/>
        <v>1</v>
      </c>
      <c r="R66" s="129">
        <f t="shared" si="4"/>
      </c>
      <c r="S66" s="129">
        <f t="shared" si="5"/>
      </c>
      <c r="T66" s="130">
        <f t="shared" si="13"/>
        <v>1</v>
      </c>
      <c r="U66" s="117"/>
      <c r="V66" s="117"/>
      <c r="W66" s="117"/>
    </row>
    <row r="67" spans="1:23" s="132" customFormat="1" ht="12.75">
      <c r="A67" s="133">
        <v>47</v>
      </c>
      <c r="B67" s="134">
        <v>44463.24930555555</v>
      </c>
      <c r="C67" s="134">
        <v>44465.62777777778</v>
      </c>
      <c r="D67" s="135">
        <f>(C67-B67)*24</f>
        <v>57.083333333430346</v>
      </c>
      <c r="E67" s="134" t="s">
        <v>78</v>
      </c>
      <c r="F67" s="136"/>
      <c r="G67" s="137"/>
      <c r="H67" s="134">
        <v>44465.62777777778</v>
      </c>
      <c r="I67" s="134">
        <v>44465.76388888889</v>
      </c>
      <c r="J67" s="135">
        <f>(I67-H67)*24</f>
        <v>3.266666666662786</v>
      </c>
      <c r="K67" s="135"/>
      <c r="L67" s="138"/>
      <c r="M67" s="139"/>
      <c r="N67" s="139"/>
      <c r="O67" s="140"/>
      <c r="P67" s="134"/>
      <c r="Q67" s="129">
        <f t="shared" si="3"/>
      </c>
      <c r="R67" s="129">
        <f t="shared" si="4"/>
      </c>
      <c r="S67" s="129">
        <f t="shared" si="5"/>
      </c>
      <c r="T67" s="130">
        <f t="shared" si="13"/>
        <v>0</v>
      </c>
      <c r="U67" s="131"/>
      <c r="V67" s="131"/>
      <c r="W67" s="131"/>
    </row>
    <row r="68" spans="1:23" s="118" customFormat="1" ht="15.75" customHeight="1">
      <c r="A68" s="133"/>
      <c r="B68" s="134"/>
      <c r="C68" s="134"/>
      <c r="D68" s="135"/>
      <c r="E68" s="134"/>
      <c r="F68" s="136"/>
      <c r="G68" s="137"/>
      <c r="H68" s="184">
        <v>44465.62777777778</v>
      </c>
      <c r="I68" s="184">
        <v>44465.669444444444</v>
      </c>
      <c r="J68" s="185"/>
      <c r="K68" s="185">
        <f>(I68-H68)*24</f>
        <v>0.9999999999417923</v>
      </c>
      <c r="L68" s="186" t="s">
        <v>23</v>
      </c>
      <c r="M68" s="187" t="s">
        <v>23</v>
      </c>
      <c r="N68" s="187" t="s">
        <v>23</v>
      </c>
      <c r="O68" s="188" t="s">
        <v>17</v>
      </c>
      <c r="P68" s="184"/>
      <c r="Q68" s="129">
        <f t="shared" si="3"/>
        <v>1</v>
      </c>
      <c r="R68" s="129">
        <f t="shared" si="4"/>
      </c>
      <c r="S68" s="129">
        <f t="shared" si="5"/>
      </c>
      <c r="T68" s="130">
        <f>SUM(Q68:S68)</f>
        <v>1</v>
      </c>
      <c r="U68" s="117"/>
      <c r="V68" s="117"/>
      <c r="W68" s="117"/>
    </row>
    <row r="69" spans="1:23" s="118" customFormat="1" ht="15.75" customHeight="1">
      <c r="A69" s="133"/>
      <c r="B69" s="134"/>
      <c r="C69" s="134"/>
      <c r="D69" s="135"/>
      <c r="E69" s="134"/>
      <c r="F69" s="136"/>
      <c r="G69" s="137"/>
      <c r="H69" s="189">
        <v>44465.669444444444</v>
      </c>
      <c r="I69" s="189">
        <v>44465.76388888889</v>
      </c>
      <c r="J69" s="190"/>
      <c r="K69" s="190">
        <f>(I69-H69)*24</f>
        <v>2.266666666720994</v>
      </c>
      <c r="L69" s="191" t="s">
        <v>22</v>
      </c>
      <c r="M69" s="192" t="s">
        <v>22</v>
      </c>
      <c r="N69" s="192" t="s">
        <v>22</v>
      </c>
      <c r="O69" s="193" t="s">
        <v>97</v>
      </c>
      <c r="P69" s="189"/>
      <c r="Q69" s="129">
        <f t="shared" si="3"/>
      </c>
      <c r="R69" s="129">
        <f t="shared" si="4"/>
      </c>
      <c r="S69" s="129">
        <f t="shared" si="5"/>
        <v>1</v>
      </c>
      <c r="T69" s="130">
        <f>SUM(Q69:S69)</f>
        <v>1</v>
      </c>
      <c r="U69" s="117"/>
      <c r="V69" s="117"/>
      <c r="W69" s="117"/>
    </row>
    <row r="70" spans="1:23" s="118" customFormat="1" ht="15.75" customHeight="1">
      <c r="A70" s="122">
        <v>48</v>
      </c>
      <c r="B70" s="123">
        <v>44465.76388888889</v>
      </c>
      <c r="C70" s="123">
        <v>44469.333333333336</v>
      </c>
      <c r="D70" s="153">
        <f>(C70-B70)*24</f>
        <v>85.66666666668607</v>
      </c>
      <c r="E70" s="123" t="s">
        <v>71</v>
      </c>
      <c r="F70" s="124"/>
      <c r="G70" s="125"/>
      <c r="H70" s="123"/>
      <c r="I70" s="123"/>
      <c r="J70" s="153">
        <f>(I70-H70)*24</f>
        <v>0</v>
      </c>
      <c r="K70" s="153">
        <f>(I70-H70)*24</f>
        <v>0</v>
      </c>
      <c r="L70" s="126"/>
      <c r="M70" s="127"/>
      <c r="N70" s="127"/>
      <c r="O70" s="128" t="s">
        <v>21</v>
      </c>
      <c r="P70" s="123"/>
      <c r="Q70" s="129">
        <f t="shared" si="3"/>
      </c>
      <c r="R70" s="129">
        <f t="shared" si="4"/>
        <v>1</v>
      </c>
      <c r="S70" s="129">
        <f t="shared" si="5"/>
      </c>
      <c r="T70" s="130">
        <f t="shared" si="13"/>
        <v>1</v>
      </c>
      <c r="U70" s="117"/>
      <c r="V70" s="117"/>
      <c r="W70" s="117"/>
    </row>
    <row r="71" spans="1:23" s="152" customFormat="1" ht="12.75">
      <c r="A71" s="141"/>
      <c r="B71" s="142"/>
      <c r="C71" s="142"/>
      <c r="D71" s="143">
        <f>SUM(D66:D70)</f>
        <v>209.68333333334886</v>
      </c>
      <c r="E71" s="144"/>
      <c r="F71" s="145"/>
      <c r="G71" s="146"/>
      <c r="H71" s="147"/>
      <c r="I71" s="147"/>
      <c r="J71" s="148">
        <f>SUM(J66:J70)</f>
        <v>6.316666666651145</v>
      </c>
      <c r="K71" s="148">
        <f>SUM(K66:K70)</f>
        <v>6.316666666651145</v>
      </c>
      <c r="L71" s="149"/>
      <c r="M71" s="150"/>
      <c r="N71" s="150"/>
      <c r="O71" s="151"/>
      <c r="P71" s="144"/>
      <c r="Q71" s="129">
        <f t="shared" si="3"/>
      </c>
      <c r="R71" s="129">
        <f t="shared" si="4"/>
      </c>
      <c r="S71" s="129">
        <f t="shared" si="5"/>
      </c>
      <c r="T71" s="130">
        <f t="shared" si="13"/>
        <v>0</v>
      </c>
      <c r="U71" s="30"/>
      <c r="V71" s="30"/>
      <c r="W71" s="30"/>
    </row>
    <row r="72" spans="1:23" s="118" customFormat="1" ht="12.75">
      <c r="A72" s="106"/>
      <c r="B72" s="107"/>
      <c r="C72" s="107"/>
      <c r="D72" s="108"/>
      <c r="E72" s="109"/>
      <c r="F72" s="110"/>
      <c r="G72" s="111"/>
      <c r="H72" s="107"/>
      <c r="I72" s="107"/>
      <c r="J72" s="112"/>
      <c r="K72" s="112"/>
      <c r="L72" s="113"/>
      <c r="M72" s="114"/>
      <c r="N72" s="114"/>
      <c r="O72" s="115"/>
      <c r="P72" s="109"/>
      <c r="Q72" s="116"/>
      <c r="R72" s="116"/>
      <c r="S72" s="116"/>
      <c r="T72" s="116"/>
      <c r="U72" s="117"/>
      <c r="V72" s="117"/>
      <c r="W72" s="117"/>
    </row>
    <row r="73" spans="1:18" ht="12.75">
      <c r="A73" s="28"/>
      <c r="B73" s="14"/>
      <c r="C73" s="34" t="s">
        <v>25</v>
      </c>
      <c r="D73" s="35">
        <f>Q75</f>
        <v>34</v>
      </c>
      <c r="E73" s="16"/>
      <c r="F73" s="29"/>
      <c r="G73" s="18"/>
      <c r="H73" s="19"/>
      <c r="I73" s="19"/>
      <c r="J73" s="36" t="s">
        <v>26</v>
      </c>
      <c r="K73" s="37"/>
      <c r="L73" s="21"/>
      <c r="M73" s="22"/>
      <c r="N73" s="22"/>
      <c r="O73" s="38"/>
      <c r="P73" s="23"/>
      <c r="R73" s="12">
        <f>IF($L73="Scheduled",1,"")</f>
      </c>
    </row>
    <row r="74" spans="1:18" ht="12.75">
      <c r="A74" s="28"/>
      <c r="B74" s="14"/>
      <c r="C74" s="34" t="s">
        <v>27</v>
      </c>
      <c r="D74" s="35">
        <f>D75-D73</f>
        <v>12</v>
      </c>
      <c r="E74" s="16"/>
      <c r="F74" s="29"/>
      <c r="G74" s="18"/>
      <c r="H74" s="19"/>
      <c r="I74" s="19"/>
      <c r="J74" s="15" t="s">
        <v>28</v>
      </c>
      <c r="K74" s="39" t="s">
        <v>13</v>
      </c>
      <c r="L74" s="21"/>
      <c r="M74" s="22"/>
      <c r="N74" s="22"/>
      <c r="O74" s="38"/>
      <c r="P74" s="23"/>
      <c r="R74" s="12">
        <f>IF($L74="Scheduled",1,"")</f>
      </c>
    </row>
    <row r="75" spans="1:29" ht="13.5" thickBot="1">
      <c r="A75" s="28"/>
      <c r="B75" s="14"/>
      <c r="C75" s="34" t="s">
        <v>29</v>
      </c>
      <c r="D75" s="40">
        <f>COUNT(A5:A72)</f>
        <v>46</v>
      </c>
      <c r="E75" s="16"/>
      <c r="F75" s="29"/>
      <c r="G75" s="18"/>
      <c r="H75" s="19"/>
      <c r="I75" s="19"/>
      <c r="J75" s="41">
        <f>SUM(J5:J72)/2</f>
        <v>51.86666666652309</v>
      </c>
      <c r="K75" s="41">
        <f>SUM(K5:K72)/2</f>
        <v>51.86666666652309</v>
      </c>
      <c r="L75" s="21"/>
      <c r="M75" s="22"/>
      <c r="N75" s="22"/>
      <c r="O75" s="38"/>
      <c r="P75" s="23"/>
      <c r="Q75" s="40">
        <f>SUM(Q1:Q72)</f>
        <v>34</v>
      </c>
      <c r="R75" s="40">
        <f>SUM(R1:R72)</f>
        <v>11</v>
      </c>
      <c r="S75" s="40">
        <f>SUM(S1:S72)</f>
        <v>8</v>
      </c>
      <c r="T75" s="40">
        <f>SUM(T1:T72)</f>
        <v>53</v>
      </c>
      <c r="AA75" s="30"/>
      <c r="AB75" s="30"/>
      <c r="AC75" s="30"/>
    </row>
    <row r="76" spans="1:19" ht="13.5" thickTop="1">
      <c r="A76" s="28"/>
      <c r="B76" s="14"/>
      <c r="C76" s="34"/>
      <c r="D76" s="15"/>
      <c r="E76" s="16"/>
      <c r="F76" s="29"/>
      <c r="G76" s="18"/>
      <c r="H76" s="19"/>
      <c r="I76" s="19"/>
      <c r="J76" s="15"/>
      <c r="K76" s="20"/>
      <c r="L76" s="21"/>
      <c r="M76" s="22"/>
      <c r="N76" s="22"/>
      <c r="O76" s="21"/>
      <c r="P76" s="23"/>
      <c r="R76" s="42" t="s">
        <v>21</v>
      </c>
      <c r="S76" s="12" t="s">
        <v>30</v>
      </c>
    </row>
    <row r="77" spans="1:26" ht="12.75">
      <c r="A77" s="28"/>
      <c r="B77" s="14"/>
      <c r="C77" s="34" t="s">
        <v>31</v>
      </c>
      <c r="D77" s="15">
        <f>SUM(D5:D72)/2</f>
        <v>1572.1333333334187</v>
      </c>
      <c r="E77" s="43">
        <f>D77/24</f>
        <v>65.50555555555911</v>
      </c>
      <c r="F77" s="44" t="s">
        <v>32</v>
      </c>
      <c r="G77" s="18"/>
      <c r="H77" s="19"/>
      <c r="I77" s="19"/>
      <c r="J77" s="15"/>
      <c r="K77" s="20"/>
      <c r="L77" s="21"/>
      <c r="M77" s="22"/>
      <c r="N77" s="22"/>
      <c r="O77" s="21"/>
      <c r="P77" s="23"/>
      <c r="Q77" s="12">
        <f>IF($O79="Store Lost",1,"")</f>
      </c>
      <c r="T77" s="45"/>
      <c r="U77" s="30"/>
      <c r="V77" s="30"/>
      <c r="W77" s="30"/>
      <c r="X77" s="30"/>
      <c r="Y77" s="30"/>
      <c r="Z77" s="30"/>
    </row>
    <row r="78" spans="1:17" ht="12.75">
      <c r="A78" s="28"/>
      <c r="B78" s="14"/>
      <c r="C78" s="34" t="s">
        <v>33</v>
      </c>
      <c r="D78" s="15">
        <f>J75</f>
        <v>51.86666666652309</v>
      </c>
      <c r="E78" s="16" t="s">
        <v>34</v>
      </c>
      <c r="F78" s="29"/>
      <c r="G78" s="18"/>
      <c r="H78" s="19"/>
      <c r="I78" s="19"/>
      <c r="J78" s="15"/>
      <c r="K78" s="20"/>
      <c r="L78" s="21"/>
      <c r="M78" s="22"/>
      <c r="N78" s="22"/>
      <c r="O78" s="21"/>
      <c r="P78" s="23"/>
      <c r="Q78" s="12">
        <f>IF($O80="Store Lost",1,"")</f>
      </c>
    </row>
    <row r="79" spans="1:17" ht="12.75">
      <c r="A79" s="28"/>
      <c r="B79" s="14"/>
      <c r="C79" s="34" t="s">
        <v>35</v>
      </c>
      <c r="D79" s="40">
        <f>SUM(D77:D78)</f>
        <v>1623.9999999999418</v>
      </c>
      <c r="E79" s="43"/>
      <c r="F79" s="29"/>
      <c r="G79" s="18"/>
      <c r="H79" s="19"/>
      <c r="I79" s="19"/>
      <c r="J79" s="15"/>
      <c r="K79" s="20"/>
      <c r="L79" s="21"/>
      <c r="M79" s="22"/>
      <c r="N79" s="22"/>
      <c r="O79" s="21"/>
      <c r="P79" s="23"/>
      <c r="Q79" s="12" t="e">
        <f>IF(#REF!="Store Lost",1,"")</f>
        <v>#REF!</v>
      </c>
    </row>
    <row r="80" spans="1:18" ht="12.75">
      <c r="A80" s="28"/>
      <c r="B80" s="14"/>
      <c r="C80" s="34"/>
      <c r="D80" s="46"/>
      <c r="E80" s="47"/>
      <c r="F80" s="29"/>
      <c r="G80" s="18"/>
      <c r="H80" s="15"/>
      <c r="I80" s="19"/>
      <c r="J80" s="15"/>
      <c r="K80" s="20"/>
      <c r="L80" s="21"/>
      <c r="M80" s="22"/>
      <c r="N80" s="22"/>
      <c r="O80" s="21"/>
      <c r="P80" s="23"/>
      <c r="Q80" s="48">
        <f>Q75+R75</f>
        <v>45</v>
      </c>
      <c r="R80" s="12">
        <f>IF($P81="Store Lost",1,"")</f>
      </c>
    </row>
    <row r="81" spans="1:18" ht="12.75">
      <c r="A81" s="28"/>
      <c r="B81" s="14"/>
      <c r="C81" s="34" t="s">
        <v>36</v>
      </c>
      <c r="D81" s="49">
        <f>IF(D73,D77/D73,D77)</f>
        <v>46.23921568627702</v>
      </c>
      <c r="E81" s="16"/>
      <c r="F81" s="29"/>
      <c r="G81" s="18"/>
      <c r="J81" s="7"/>
      <c r="K81" s="50"/>
      <c r="Q81" s="23"/>
      <c r="R81" s="12">
        <f>IF($P83="Store Lost",1,"")</f>
      </c>
    </row>
    <row r="82" spans="1:18" ht="12.75">
      <c r="A82" s="28"/>
      <c r="B82" s="14"/>
      <c r="C82" s="34" t="s">
        <v>37</v>
      </c>
      <c r="D82" s="46">
        <f>IF(D73,24/D81,0)</f>
        <v>0.5190399457212846</v>
      </c>
      <c r="E82" s="51"/>
      <c r="F82" s="52"/>
      <c r="G82" s="53"/>
      <c r="K82" s="50"/>
      <c r="Q82" s="23"/>
      <c r="R82" s="12" t="e">
        <f>NA()</f>
        <v>#N/A</v>
      </c>
    </row>
    <row r="83" spans="1:18" ht="12.75">
      <c r="A83" s="28"/>
      <c r="B83" s="14"/>
      <c r="C83" s="34" t="s">
        <v>38</v>
      </c>
      <c r="D83" s="119">
        <f>D77/D79</f>
        <v>0.9680623973728295</v>
      </c>
      <c r="E83" s="54"/>
      <c r="F83" s="29"/>
      <c r="G83" s="18"/>
      <c r="K83" s="50"/>
      <c r="Q83" s="23"/>
      <c r="R83" s="12" t="e">
        <f>NA()</f>
        <v>#N/A</v>
      </c>
    </row>
    <row r="84" spans="1:29" s="55" customFormat="1" ht="12.75">
      <c r="A84" s="28"/>
      <c r="B84" s="14"/>
      <c r="C84" s="14"/>
      <c r="D84" s="15"/>
      <c r="E84" s="16"/>
      <c r="F84" s="29"/>
      <c r="G84" s="18"/>
      <c r="H84" s="7"/>
      <c r="I84" s="7"/>
      <c r="J84" s="3"/>
      <c r="K84" s="50"/>
      <c r="L84" s="9"/>
      <c r="M84" s="10"/>
      <c r="N84" s="10"/>
      <c r="O84" s="9"/>
      <c r="P84" s="11"/>
      <c r="Q84" s="23"/>
      <c r="R84" s="12">
        <f aca="true" t="shared" si="14" ref="R84:R92">IF($P86="Store Lost",1,"")</f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18" ht="12.75">
      <c r="A85" s="28"/>
      <c r="B85" s="14"/>
      <c r="C85" s="14"/>
      <c r="D85" s="15"/>
      <c r="E85" s="16"/>
      <c r="F85" s="29"/>
      <c r="G85" s="18"/>
      <c r="K85" s="50"/>
      <c r="Q85" s="23"/>
      <c r="R85" s="12">
        <f t="shared" si="14"/>
      </c>
    </row>
    <row r="86" spans="1:18" ht="12.75">
      <c r="A86" s="28"/>
      <c r="B86" s="14"/>
      <c r="C86" s="14"/>
      <c r="D86" s="15"/>
      <c r="E86" s="16"/>
      <c r="F86" s="29"/>
      <c r="G86" s="18"/>
      <c r="K86" s="50"/>
      <c r="Q86" s="23"/>
      <c r="R86" s="12">
        <f t="shared" si="14"/>
      </c>
    </row>
    <row r="87" spans="1:18" ht="12.75">
      <c r="A87" s="28"/>
      <c r="B87" s="14"/>
      <c r="C87" s="14"/>
      <c r="D87" s="15"/>
      <c r="E87" s="16"/>
      <c r="F87" s="29"/>
      <c r="G87" s="18"/>
      <c r="K87" s="50"/>
      <c r="Q87" s="23"/>
      <c r="R87" s="12">
        <f t="shared" si="14"/>
      </c>
    </row>
    <row r="88" spans="1:18" ht="12.75">
      <c r="A88" s="28"/>
      <c r="B88" s="14"/>
      <c r="C88" s="14"/>
      <c r="D88" s="15"/>
      <c r="E88" s="16"/>
      <c r="F88" s="29"/>
      <c r="G88" s="18"/>
      <c r="K88" s="50"/>
      <c r="Q88" s="23"/>
      <c r="R88" s="12">
        <f t="shared" si="14"/>
      </c>
    </row>
    <row r="89" spans="1:18" ht="12.75">
      <c r="A89" s="28"/>
      <c r="B89" s="14"/>
      <c r="C89" s="14"/>
      <c r="D89" s="15"/>
      <c r="E89" s="16"/>
      <c r="F89" s="29"/>
      <c r="G89" s="18"/>
      <c r="K89" s="50"/>
      <c r="Q89" s="23"/>
      <c r="R89" s="12">
        <f t="shared" si="14"/>
      </c>
    </row>
    <row r="90" spans="1:18" ht="12.75">
      <c r="A90" s="28"/>
      <c r="B90" s="14"/>
      <c r="C90" s="14"/>
      <c r="D90" s="15"/>
      <c r="E90" s="16"/>
      <c r="F90" s="29"/>
      <c r="G90" s="18"/>
      <c r="K90" s="50"/>
      <c r="Q90" s="23"/>
      <c r="R90" s="12">
        <f t="shared" si="14"/>
      </c>
    </row>
    <row r="91" spans="1:18" ht="12.75">
      <c r="A91" s="28"/>
      <c r="B91" s="14"/>
      <c r="C91" s="14"/>
      <c r="D91" s="15"/>
      <c r="E91" s="16"/>
      <c r="F91" s="29"/>
      <c r="G91" s="18"/>
      <c r="K91" s="50"/>
      <c r="Q91" s="23"/>
      <c r="R91" s="12">
        <f t="shared" si="14"/>
      </c>
    </row>
    <row r="92" spans="1:18" ht="12.75">
      <c r="A92" s="28"/>
      <c r="B92" s="14"/>
      <c r="C92" s="14"/>
      <c r="D92" s="15"/>
      <c r="E92" s="16"/>
      <c r="F92" s="29"/>
      <c r="G92" s="18"/>
      <c r="K92" s="50"/>
      <c r="Q92" s="23"/>
      <c r="R92" s="12">
        <f t="shared" si="14"/>
      </c>
    </row>
    <row r="93" spans="1:29" s="56" customFormat="1" ht="12.75">
      <c r="A93" s="28"/>
      <c r="B93" s="14"/>
      <c r="C93" s="14"/>
      <c r="D93" s="15"/>
      <c r="E93" s="16"/>
      <c r="F93" s="29"/>
      <c r="G93" s="18"/>
      <c r="H93" s="7"/>
      <c r="I93" s="7"/>
      <c r="J93" s="3"/>
      <c r="K93" s="50"/>
      <c r="L93" s="9"/>
      <c r="M93" s="10"/>
      <c r="N93" s="10"/>
      <c r="O93" s="9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s="30" customFormat="1" ht="12.75">
      <c r="A94" s="28"/>
      <c r="B94" s="14"/>
      <c r="C94" s="14"/>
      <c r="D94" s="15"/>
      <c r="E94" s="16"/>
      <c r="F94" s="29"/>
      <c r="G94" s="18"/>
      <c r="H94" s="7"/>
      <c r="I94" s="7"/>
      <c r="J94" s="3"/>
      <c r="K94" s="50"/>
      <c r="L94" s="9"/>
      <c r="M94" s="10"/>
      <c r="N94" s="10"/>
      <c r="O94" s="9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55"/>
      <c r="AB94" s="55"/>
      <c r="AC94" s="55"/>
    </row>
    <row r="95" spans="1:16" ht="12.75">
      <c r="A95" s="28"/>
      <c r="B95" s="14"/>
      <c r="C95" s="14"/>
      <c r="D95" s="15"/>
      <c r="E95" s="16"/>
      <c r="F95" s="29"/>
      <c r="G95" s="18"/>
      <c r="H95" s="19"/>
      <c r="I95" s="19"/>
      <c r="J95" s="15"/>
      <c r="K95" s="20"/>
      <c r="L95" s="21"/>
      <c r="M95" s="22"/>
      <c r="N95" s="22"/>
      <c r="O95" s="21"/>
      <c r="P95" s="23"/>
    </row>
    <row r="96" spans="1:26" ht="12.75">
      <c r="A96" s="28"/>
      <c r="B96" s="14"/>
      <c r="C96" s="14"/>
      <c r="E96" s="16"/>
      <c r="F96" s="29"/>
      <c r="G96" s="18"/>
      <c r="H96" s="19"/>
      <c r="I96" s="19"/>
      <c r="L96" s="21"/>
      <c r="M96" s="22"/>
      <c r="N96" s="22"/>
      <c r="O96" s="21"/>
      <c r="P96" s="23"/>
      <c r="U96" s="55"/>
      <c r="V96" s="55"/>
      <c r="W96" s="55"/>
      <c r="X96" s="55"/>
      <c r="Y96" s="55"/>
      <c r="Z96" s="55"/>
    </row>
    <row r="97" spans="1:16" ht="12.75">
      <c r="A97" s="28"/>
      <c r="B97" s="14"/>
      <c r="C97" s="14"/>
      <c r="E97" s="16"/>
      <c r="F97" s="29"/>
      <c r="G97" s="18"/>
      <c r="H97" s="19"/>
      <c r="I97" s="19"/>
      <c r="L97" s="21"/>
      <c r="M97" s="22"/>
      <c r="N97" s="22"/>
      <c r="O97" s="21"/>
      <c r="P97" s="23"/>
    </row>
    <row r="98" spans="1:16" ht="12.75">
      <c r="A98" s="28"/>
      <c r="B98" s="14"/>
      <c r="C98" s="14"/>
      <c r="E98" s="16"/>
      <c r="F98" s="29"/>
      <c r="G98" s="18"/>
      <c r="H98" s="19"/>
      <c r="I98" s="19"/>
      <c r="L98" s="21"/>
      <c r="M98" s="22"/>
      <c r="N98" s="22"/>
      <c r="O98" s="21"/>
      <c r="P98" s="23"/>
    </row>
    <row r="99" spans="1:16" ht="12.75">
      <c r="A99" s="28"/>
      <c r="B99" s="14"/>
      <c r="C99" s="14"/>
      <c r="F99" s="29"/>
      <c r="G99" s="18"/>
      <c r="H99" s="19"/>
      <c r="I99" s="19"/>
      <c r="L99" s="21"/>
      <c r="M99" s="22"/>
      <c r="N99" s="22"/>
      <c r="O99" s="21"/>
      <c r="P99" s="23"/>
    </row>
    <row r="100" spans="1:20" ht="12.75">
      <c r="A100" s="28"/>
      <c r="B100" s="14"/>
      <c r="C100" s="14"/>
      <c r="F100" s="29"/>
      <c r="G100" s="18"/>
      <c r="H100" s="19"/>
      <c r="I100" s="19"/>
      <c r="L100" s="21"/>
      <c r="M100" s="22"/>
      <c r="N100" s="22"/>
      <c r="O100" s="21"/>
      <c r="P100" s="23"/>
      <c r="R100" s="55"/>
      <c r="S100" s="55"/>
      <c r="T100" s="55"/>
    </row>
    <row r="101" spans="2:16" ht="12.75">
      <c r="B101" s="14"/>
      <c r="C101" s="14"/>
      <c r="F101" s="29"/>
      <c r="G101" s="18"/>
      <c r="H101" s="19"/>
      <c r="I101" s="19"/>
      <c r="L101" s="21"/>
      <c r="M101" s="22"/>
      <c r="N101" s="22"/>
      <c r="O101" s="21"/>
      <c r="P101" s="23"/>
    </row>
    <row r="102" spans="2:17" ht="12.75">
      <c r="B102" s="14"/>
      <c r="C102" s="14"/>
      <c r="F102" s="29"/>
      <c r="G102" s="18"/>
      <c r="H102" s="19"/>
      <c r="I102" s="19"/>
      <c r="L102" s="21"/>
      <c r="M102" s="22"/>
      <c r="N102" s="22"/>
      <c r="O102" s="21"/>
      <c r="P102" s="23"/>
      <c r="Q102" s="12">
        <f aca="true" t="shared" si="15" ref="Q102:Q133">IF($O104="Store Lost",1,"")</f>
      </c>
    </row>
    <row r="103" spans="2:29" ht="12.75">
      <c r="B103" s="14"/>
      <c r="C103" s="14"/>
      <c r="F103" s="29"/>
      <c r="G103" s="18"/>
      <c r="H103" s="19"/>
      <c r="I103" s="19"/>
      <c r="L103" s="21"/>
      <c r="M103" s="22"/>
      <c r="N103" s="22"/>
      <c r="O103" s="21"/>
      <c r="P103" s="23"/>
      <c r="Q103" s="12">
        <f t="shared" si="15"/>
      </c>
      <c r="AA103" s="56"/>
      <c r="AB103" s="56"/>
      <c r="AC103" s="56"/>
    </row>
    <row r="104" spans="2:29" ht="12.75">
      <c r="B104" s="14"/>
      <c r="C104" s="14"/>
      <c r="Q104" s="12">
        <f t="shared" si="15"/>
      </c>
      <c r="AA104" s="30"/>
      <c r="AB104" s="30"/>
      <c r="AC104" s="30"/>
    </row>
    <row r="105" spans="17:26" ht="12.75">
      <c r="Q105" s="12">
        <f t="shared" si="15"/>
      </c>
      <c r="U105" s="56"/>
      <c r="V105" s="56"/>
      <c r="W105" s="56"/>
      <c r="X105" s="56"/>
      <c r="Y105" s="56"/>
      <c r="Z105" s="56"/>
    </row>
    <row r="106" spans="17:26" ht="12.75">
      <c r="Q106" s="12">
        <f t="shared" si="15"/>
      </c>
      <c r="U106" s="30"/>
      <c r="V106" s="30"/>
      <c r="W106" s="30"/>
      <c r="X106" s="30"/>
      <c r="Y106" s="30"/>
      <c r="Z106" s="30"/>
    </row>
    <row r="107" spans="1:29" s="55" customFormat="1" ht="12.75">
      <c r="A107" s="1"/>
      <c r="B107" s="2"/>
      <c r="C107" s="2"/>
      <c r="D107" s="3"/>
      <c r="E107" s="4"/>
      <c r="F107" s="5"/>
      <c r="G107" s="6"/>
      <c r="H107" s="7"/>
      <c r="I107" s="7"/>
      <c r="J107" s="3"/>
      <c r="K107" s="8"/>
      <c r="L107" s="9"/>
      <c r="M107" s="10"/>
      <c r="N107" s="10"/>
      <c r="O107" s="9"/>
      <c r="P107" s="11"/>
      <c r="Q107" s="12">
        <f t="shared" si="15"/>
      </c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ht="12.75">
      <c r="Q108" s="12">
        <f t="shared" si="15"/>
      </c>
    </row>
    <row r="109" spans="17:20" ht="12.75">
      <c r="Q109" s="12">
        <f t="shared" si="15"/>
      </c>
      <c r="R109" s="56"/>
      <c r="S109" s="56"/>
      <c r="T109" s="56"/>
    </row>
    <row r="110" spans="17:20" ht="12.75">
      <c r="Q110" s="12">
        <f t="shared" si="15"/>
      </c>
      <c r="R110" s="30"/>
      <c r="S110" s="30"/>
      <c r="T110" s="30"/>
    </row>
    <row r="111" ht="12.75">
      <c r="Q111" s="12">
        <f t="shared" si="15"/>
      </c>
    </row>
    <row r="112" ht="12.75">
      <c r="Q112" s="12">
        <f t="shared" si="15"/>
      </c>
    </row>
    <row r="113" ht="12.75">
      <c r="Q113" s="12">
        <f t="shared" si="15"/>
      </c>
    </row>
    <row r="114" ht="12.75">
      <c r="Q114" s="12">
        <f t="shared" si="15"/>
      </c>
    </row>
    <row r="115" ht="12.75">
      <c r="Q115" s="12">
        <f t="shared" si="15"/>
      </c>
    </row>
    <row r="116" ht="12.75">
      <c r="Q116" s="12">
        <f t="shared" si="15"/>
      </c>
    </row>
    <row r="117" spans="17:29" ht="12.75">
      <c r="Q117" s="12">
        <f t="shared" si="15"/>
      </c>
      <c r="AA117" s="55"/>
      <c r="AB117" s="55"/>
      <c r="AC117" s="55"/>
    </row>
    <row r="118" ht="12.75">
      <c r="Q118" s="12">
        <f t="shared" si="15"/>
      </c>
    </row>
    <row r="119" spans="17:26" ht="12.75">
      <c r="Q119" s="12">
        <f t="shared" si="15"/>
      </c>
      <c r="U119" s="55"/>
      <c r="V119" s="55"/>
      <c r="W119" s="55"/>
      <c r="X119" s="55"/>
      <c r="Y119" s="55"/>
      <c r="Z119" s="55"/>
    </row>
    <row r="120" spans="1:29" s="55" customFormat="1" ht="12.75">
      <c r="A120" s="1"/>
      <c r="B120" s="2"/>
      <c r="C120" s="2"/>
      <c r="D120" s="3"/>
      <c r="E120" s="4"/>
      <c r="F120" s="5"/>
      <c r="G120" s="6"/>
      <c r="H120" s="7"/>
      <c r="I120" s="7"/>
      <c r="J120" s="3"/>
      <c r="K120" s="8"/>
      <c r="L120" s="9"/>
      <c r="M120" s="10"/>
      <c r="N120" s="10"/>
      <c r="O120" s="9"/>
      <c r="P120" s="11"/>
      <c r="Q120" s="12">
        <f t="shared" si="15"/>
      </c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s="30" customFormat="1" ht="12.75">
      <c r="A121" s="1"/>
      <c r="B121" s="2"/>
      <c r="C121" s="2"/>
      <c r="D121" s="3"/>
      <c r="E121" s="4"/>
      <c r="F121" s="5"/>
      <c r="G121" s="6"/>
      <c r="H121" s="7"/>
      <c r="I121" s="7"/>
      <c r="J121" s="3"/>
      <c r="K121" s="8"/>
      <c r="L121" s="9"/>
      <c r="M121" s="10"/>
      <c r="N121" s="10"/>
      <c r="O121" s="9"/>
      <c r="P121" s="11"/>
      <c r="Q121" s="12">
        <f t="shared" si="15"/>
      </c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s="55" customFormat="1" ht="12.75">
      <c r="A122" s="1"/>
      <c r="B122" s="2"/>
      <c r="C122" s="2"/>
      <c r="D122" s="3"/>
      <c r="E122" s="4"/>
      <c r="F122" s="5"/>
      <c r="G122" s="6"/>
      <c r="H122" s="7"/>
      <c r="I122" s="7"/>
      <c r="J122" s="3"/>
      <c r="K122" s="8"/>
      <c r="L122" s="9"/>
      <c r="M122" s="10"/>
      <c r="N122" s="10"/>
      <c r="O122" s="9"/>
      <c r="P122" s="11"/>
      <c r="Q122" s="12">
        <f t="shared" si="15"/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7:20" ht="12.75">
      <c r="Q123" s="12">
        <f t="shared" si="15"/>
      </c>
      <c r="R123" s="55"/>
      <c r="S123" s="55"/>
      <c r="T123" s="55"/>
    </row>
    <row r="124" ht="12.75">
      <c r="Q124" s="12">
        <f t="shared" si="15"/>
      </c>
    </row>
    <row r="125" ht="12.75">
      <c r="Q125" s="12">
        <f t="shared" si="15"/>
      </c>
    </row>
    <row r="126" ht="12.75">
      <c r="Q126" s="12">
        <f t="shared" si="15"/>
      </c>
    </row>
    <row r="127" ht="12.75">
      <c r="Q127" s="12">
        <f t="shared" si="15"/>
      </c>
    </row>
    <row r="128" ht="12.75">
      <c r="Q128" s="12">
        <f t="shared" si="15"/>
      </c>
    </row>
    <row r="129" ht="12.75">
      <c r="Q129" s="12">
        <f t="shared" si="15"/>
      </c>
    </row>
    <row r="130" spans="17:29" ht="12.75">
      <c r="Q130" s="12">
        <f t="shared" si="15"/>
      </c>
      <c r="AA130" s="55"/>
      <c r="AB130" s="55"/>
      <c r="AC130" s="55"/>
    </row>
    <row r="131" spans="17:29" ht="12.75">
      <c r="Q131" s="12">
        <f t="shared" si="15"/>
      </c>
      <c r="AA131" s="30"/>
      <c r="AB131" s="30"/>
      <c r="AC131" s="30"/>
    </row>
    <row r="132" spans="17:29" ht="12.75">
      <c r="Q132" s="12">
        <f t="shared" si="15"/>
      </c>
      <c r="U132" s="55"/>
      <c r="V132" s="55"/>
      <c r="W132" s="55"/>
      <c r="X132" s="55"/>
      <c r="Y132" s="55"/>
      <c r="Z132" s="55"/>
      <c r="AA132" s="55"/>
      <c r="AB132" s="55"/>
      <c r="AC132" s="55"/>
    </row>
    <row r="133" spans="17:26" ht="12.75">
      <c r="Q133" s="12">
        <f t="shared" si="15"/>
      </c>
      <c r="U133" s="30"/>
      <c r="V133" s="30"/>
      <c r="W133" s="30"/>
      <c r="X133" s="30"/>
      <c r="Y133" s="30"/>
      <c r="Z133" s="30"/>
    </row>
    <row r="134" spans="17:26" ht="12.75">
      <c r="Q134" s="12">
        <f aca="true" t="shared" si="16" ref="Q134:Q159">IF($O136="Store Lost",1,"")</f>
      </c>
      <c r="U134" s="55"/>
      <c r="V134" s="55"/>
      <c r="W134" s="55"/>
      <c r="X134" s="55"/>
      <c r="Y134" s="55"/>
      <c r="Z134" s="55"/>
    </row>
    <row r="135" ht="12.75">
      <c r="Q135" s="12">
        <f t="shared" si="16"/>
      </c>
    </row>
    <row r="136" spans="17:20" ht="12.75">
      <c r="Q136" s="12">
        <f t="shared" si="16"/>
      </c>
      <c r="R136" s="55"/>
      <c r="S136" s="55"/>
      <c r="T136" s="55"/>
    </row>
    <row r="137" spans="17:20" ht="12.75">
      <c r="Q137" s="12">
        <f t="shared" si="16"/>
      </c>
      <c r="R137" s="30"/>
      <c r="S137" s="30"/>
      <c r="T137" s="30"/>
    </row>
    <row r="138" spans="17:20" ht="12.75">
      <c r="Q138" s="12">
        <f t="shared" si="16"/>
      </c>
      <c r="R138" s="55"/>
      <c r="S138" s="55"/>
      <c r="T138" s="55"/>
    </row>
    <row r="139" ht="12.75">
      <c r="Q139" s="12">
        <f t="shared" si="16"/>
      </c>
    </row>
    <row r="140" ht="12.75">
      <c r="Q140" s="12">
        <f t="shared" si="16"/>
      </c>
    </row>
    <row r="141" ht="12.75">
      <c r="Q141" s="12">
        <f t="shared" si="16"/>
      </c>
    </row>
    <row r="142" ht="12.75">
      <c r="Q142" s="12">
        <f t="shared" si="16"/>
      </c>
    </row>
    <row r="143" spans="1:29" s="55" customFormat="1" ht="12.75">
      <c r="A143" s="1"/>
      <c r="B143" s="2"/>
      <c r="C143" s="2"/>
      <c r="D143" s="3"/>
      <c r="E143" s="4"/>
      <c r="F143" s="5"/>
      <c r="G143" s="6"/>
      <c r="H143" s="7"/>
      <c r="I143" s="7"/>
      <c r="J143" s="3"/>
      <c r="K143" s="8"/>
      <c r="L143" s="9"/>
      <c r="M143" s="10"/>
      <c r="N143" s="10"/>
      <c r="O143" s="9"/>
      <c r="P143" s="11"/>
      <c r="Q143" s="12">
        <f t="shared" si="16"/>
      </c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ht="12.75">
      <c r="Q144" s="12">
        <f t="shared" si="16"/>
      </c>
    </row>
    <row r="145" ht="12.75">
      <c r="Q145" s="12">
        <f t="shared" si="16"/>
      </c>
    </row>
    <row r="146" ht="12.75">
      <c r="Q146" s="12">
        <f t="shared" si="16"/>
      </c>
    </row>
    <row r="147" ht="12.75">
      <c r="Q147" s="12">
        <f t="shared" si="16"/>
      </c>
    </row>
    <row r="148" ht="12.75">
      <c r="Q148" s="12">
        <f t="shared" si="16"/>
      </c>
    </row>
    <row r="149" ht="12.75">
      <c r="Q149" s="12">
        <f t="shared" si="16"/>
      </c>
    </row>
    <row r="150" ht="12.75">
      <c r="Q150" s="12">
        <f t="shared" si="16"/>
      </c>
    </row>
    <row r="151" ht="12.75">
      <c r="Q151" s="12">
        <f t="shared" si="16"/>
      </c>
    </row>
    <row r="152" ht="12.75">
      <c r="Q152" s="12">
        <f t="shared" si="16"/>
      </c>
    </row>
    <row r="153" spans="1:2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>
        <f t="shared" si="16"/>
      </c>
      <c r="AA153" s="55"/>
      <c r="AB153" s="55"/>
      <c r="AC153" s="55"/>
    </row>
    <row r="154" spans="1:17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>
        <f t="shared" si="16"/>
      </c>
    </row>
    <row r="155" spans="1:26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>
        <f t="shared" si="16"/>
      </c>
      <c r="U155" s="55"/>
      <c r="V155" s="55"/>
      <c r="W155" s="55"/>
      <c r="X155" s="55"/>
      <c r="Y155" s="55"/>
      <c r="Z155" s="55"/>
    </row>
    <row r="156" spans="1:17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>
        <f t="shared" si="16"/>
      </c>
    </row>
    <row r="157" spans="1:17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>
        <f t="shared" si="16"/>
      </c>
    </row>
    <row r="158" spans="1:17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>
        <f t="shared" si="16"/>
      </c>
    </row>
    <row r="159" spans="1:20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>
        <f t="shared" si="16"/>
      </c>
      <c r="R159" s="55"/>
      <c r="S159" s="55"/>
      <c r="T159" s="55"/>
    </row>
    <row r="163" spans="1:17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>
        <f>COUNT(Q72:Q159)</f>
        <v>2</v>
      </c>
    </row>
  </sheetData>
  <sheetProtection/>
  <mergeCells count="1">
    <mergeCell ref="A2:I2"/>
  </mergeCells>
  <printOptions/>
  <pageMargins left="0" right="0" top="0" bottom="0.15" header="0.511805555555556" footer="0.15"/>
  <pageSetup fitToHeight="0" fitToWidth="1" horizontalDpi="300" verticalDpi="300" orientation="portrait" paperSize="4" scale="42" r:id="rId2"/>
  <headerFooter alignWithMargins="0">
    <oddFooter>&amp;RUpdated &amp;D</oddFooter>
  </headerFooter>
  <rowBreaks count="1" manualBreakCount="1"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43"/>
  <sheetViews>
    <sheetView zoomScalePageLayoutView="0" workbookViewId="0" topLeftCell="B5">
      <selection activeCell="F18" sqref="F18"/>
    </sheetView>
  </sheetViews>
  <sheetFormatPr defaultColWidth="9.140625" defaultRowHeight="12.75"/>
  <cols>
    <col min="1" max="1" width="21.8515625" style="0" customWidth="1"/>
    <col min="2" max="10" width="12.00390625" style="0" customWidth="1"/>
    <col min="11" max="13" width="10.57421875" style="0" customWidth="1"/>
    <col min="14" max="15" width="22.28125" style="0" customWidth="1"/>
    <col min="16" max="16" width="12.00390625" style="0" customWidth="1"/>
    <col min="17" max="18" width="22.28125" style="0" customWidth="1"/>
    <col min="19" max="20" width="12.00390625" style="0" customWidth="1"/>
    <col min="21" max="22" width="22.28125" style="0" customWidth="1"/>
    <col min="23" max="23" width="4.00390625" style="0" customWidth="1"/>
    <col min="24" max="25" width="22.28125" style="0" customWidth="1"/>
    <col min="26" max="26" width="12.00390625" style="0" customWidth="1"/>
    <col min="27" max="28" width="21.140625" style="0" customWidth="1"/>
    <col min="29" max="29" width="4.00390625" style="0" customWidth="1"/>
    <col min="30" max="31" width="21.140625" style="0" bestFit="1" customWidth="1"/>
    <col min="32" max="32" width="4.421875" style="0" customWidth="1"/>
    <col min="33" max="34" width="21.140625" style="0" bestFit="1" customWidth="1"/>
    <col min="35" max="35" width="5.00390625" style="0" customWidth="1"/>
    <col min="36" max="37" width="21.140625" style="0" bestFit="1" customWidth="1"/>
    <col min="38" max="38" width="10.28125" style="0" bestFit="1" customWidth="1"/>
  </cols>
  <sheetData>
    <row r="3" spans="1:11" ht="12.75">
      <c r="A3" s="160"/>
      <c r="B3" s="161" t="s">
        <v>14</v>
      </c>
      <c r="C3" s="162"/>
      <c r="D3" s="162"/>
      <c r="E3" s="162"/>
      <c r="F3" s="162"/>
      <c r="G3" s="162"/>
      <c r="H3" s="162"/>
      <c r="I3" s="162"/>
      <c r="J3" s="162"/>
      <c r="K3" s="163"/>
    </row>
    <row r="4" spans="1:11" ht="12.75">
      <c r="A4" s="161" t="s">
        <v>39</v>
      </c>
      <c r="B4" s="160" t="s">
        <v>22</v>
      </c>
      <c r="C4" s="164" t="s">
        <v>23</v>
      </c>
      <c r="D4" s="164" t="s">
        <v>80</v>
      </c>
      <c r="E4" s="164" t="s">
        <v>24</v>
      </c>
      <c r="F4" s="164" t="s">
        <v>65</v>
      </c>
      <c r="G4" s="164" t="s">
        <v>79</v>
      </c>
      <c r="H4" s="164" t="s">
        <v>69</v>
      </c>
      <c r="I4" s="164" t="s">
        <v>72</v>
      </c>
      <c r="J4" s="164" t="s">
        <v>70</v>
      </c>
      <c r="K4" s="165" t="s">
        <v>59</v>
      </c>
    </row>
    <row r="5" spans="1:11" ht="12.75">
      <c r="A5" s="160" t="s">
        <v>40</v>
      </c>
      <c r="B5" s="166">
        <v>2</v>
      </c>
      <c r="C5" s="167">
        <v>3</v>
      </c>
      <c r="D5" s="167">
        <v>1</v>
      </c>
      <c r="E5" s="167">
        <v>1</v>
      </c>
      <c r="F5" s="167">
        <v>0</v>
      </c>
      <c r="G5" s="167">
        <v>0</v>
      </c>
      <c r="H5" s="167">
        <v>0</v>
      </c>
      <c r="I5" s="167">
        <v>0</v>
      </c>
      <c r="J5" s="167">
        <v>1</v>
      </c>
      <c r="K5" s="168">
        <v>8</v>
      </c>
    </row>
    <row r="6" spans="1:11" ht="12.75">
      <c r="A6" s="169" t="s">
        <v>41</v>
      </c>
      <c r="B6" s="170">
        <v>7</v>
      </c>
      <c r="C6" s="70">
        <v>18</v>
      </c>
      <c r="D6" s="70">
        <v>4</v>
      </c>
      <c r="E6" s="70">
        <v>0</v>
      </c>
      <c r="F6" s="70">
        <v>1</v>
      </c>
      <c r="G6" s="70">
        <v>1</v>
      </c>
      <c r="H6" s="70">
        <v>2</v>
      </c>
      <c r="I6" s="70">
        <v>1</v>
      </c>
      <c r="J6" s="70">
        <v>0</v>
      </c>
      <c r="K6" s="171">
        <v>34</v>
      </c>
    </row>
    <row r="7" spans="1:11" ht="12.75">
      <c r="A7" s="172" t="s">
        <v>67</v>
      </c>
      <c r="B7" s="174">
        <v>12.483333333337214</v>
      </c>
      <c r="C7" s="175">
        <v>21.733333333279006</v>
      </c>
      <c r="D7" s="173">
        <v>5.349999999802094</v>
      </c>
      <c r="E7" s="173">
        <v>6.416666666627862</v>
      </c>
      <c r="F7" s="173">
        <v>0.56666666676756</v>
      </c>
      <c r="G7" s="173">
        <v>0.933333333407063</v>
      </c>
      <c r="H7" s="173">
        <v>0.9833333333954215</v>
      </c>
      <c r="I7" s="173">
        <v>0.41666666662786156</v>
      </c>
      <c r="J7" s="173">
        <v>2.983333333279006</v>
      </c>
      <c r="K7" s="176">
        <v>51.86666666652309</v>
      </c>
    </row>
    <row r="13" spans="2:22" ht="12.75">
      <c r="B13" s="57" t="s">
        <v>23</v>
      </c>
      <c r="C13" s="58" t="s">
        <v>44</v>
      </c>
      <c r="D13" s="58" t="s">
        <v>22</v>
      </c>
      <c r="E13" s="58" t="s">
        <v>45</v>
      </c>
      <c r="F13" s="58" t="s">
        <v>46</v>
      </c>
      <c r="G13" s="58" t="s">
        <v>47</v>
      </c>
      <c r="H13" s="58" t="s">
        <v>48</v>
      </c>
      <c r="I13" s="58" t="s">
        <v>49</v>
      </c>
      <c r="J13" s="58" t="s">
        <v>50</v>
      </c>
      <c r="K13" s="159" t="s">
        <v>68</v>
      </c>
      <c r="L13" s="58" t="s">
        <v>51</v>
      </c>
      <c r="M13" s="58" t="s">
        <v>52</v>
      </c>
      <c r="N13" s="58" t="s">
        <v>53</v>
      </c>
      <c r="O13" s="58" t="s">
        <v>54</v>
      </c>
      <c r="P13" s="58" t="s">
        <v>55</v>
      </c>
      <c r="Q13" s="58" t="s">
        <v>56</v>
      </c>
      <c r="R13" s="59" t="s">
        <v>57</v>
      </c>
      <c r="S13" s="60" t="s">
        <v>58</v>
      </c>
      <c r="T13" s="177" t="s">
        <v>73</v>
      </c>
      <c r="U13" s="60" t="s">
        <v>59</v>
      </c>
      <c r="V13" s="61" t="s">
        <v>60</v>
      </c>
    </row>
    <row r="14" spans="1:22" s="65" customFormat="1" ht="12.75">
      <c r="A14" s="120" t="s">
        <v>100</v>
      </c>
      <c r="B14" s="157">
        <f>IF(B16,SUM(B16/B25),"")</f>
        <v>0.013382594417044202</v>
      </c>
      <c r="C14" s="157">
        <f>IF(C16,SUM(C16/B25),"")</f>
        <v>0.0032943349752477128</v>
      </c>
      <c r="D14" s="157">
        <f>IF(D16,SUM(D16/B25),"")</f>
        <v>0.007686781609198067</v>
      </c>
      <c r="E14" s="157">
        <f>IF(E16,SUM(E16/B25),"")</f>
        <v>0.0006055008210563157</v>
      </c>
      <c r="F14" s="157">
        <f>IF(F16,SUM(F16/B25),"")</f>
        <v>0.0005747126437235816</v>
      </c>
      <c r="G14" s="157">
        <f>IF(G16,SUM(G16/B25),"")</f>
      </c>
      <c r="H14" s="157">
        <f>IF(H16,SUM(H16/B25),"")</f>
      </c>
      <c r="I14" s="157">
        <f>IF(I16,SUM(I16/B25),"")</f>
        <v>0.003951149425263603</v>
      </c>
      <c r="J14" s="157"/>
      <c r="K14" s="157">
        <f>IF(K16,SUM(K16/B25),"")</f>
      </c>
      <c r="L14" s="157">
        <f>IF(L16,SUM(L16/B25),"")</f>
        <v>0.0003489326765810223</v>
      </c>
      <c r="M14" s="157">
        <f>IF(M16,SUM(M16/E25),"")</f>
      </c>
      <c r="N14" s="157">
        <f>IF(N16,SUM(N16/B25),"")</f>
      </c>
      <c r="O14" s="157" t="e">
        <f>IF(O16,SUM(O16/B25),"")</f>
        <v>#REF!</v>
      </c>
      <c r="P14" s="157">
        <f>IF(P16,SUM(P16/B25),"")</f>
      </c>
      <c r="Q14" s="157">
        <f>IF(Q16,SUM(Q16/B25),"")</f>
        <v>0.0018370279145807347</v>
      </c>
      <c r="R14" s="63">
        <f>IF(R16,SUM(R16/B25),"")</f>
      </c>
      <c r="S14" s="63">
        <f>IF(S16,SUM(S16/B25),"")</f>
        <v>0.0002565681444752934</v>
      </c>
      <c r="T14" s="63"/>
      <c r="U14" s="63" t="e">
        <f>IF(U16,SUM(U16/B25),"")</f>
        <v>#REF!</v>
      </c>
      <c r="V14" s="64">
        <f>IF(V16,SUM(V16/N13),"")</f>
      </c>
    </row>
    <row r="15" spans="1:22" ht="12.75">
      <c r="A15" s="62" t="s">
        <v>61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/>
      <c r="K15" s="66">
        <f>'[1]reliabilitySummary'!$B$18</f>
        <v>0.0012000000000000001</v>
      </c>
      <c r="L15" s="66">
        <f>'[1]reliabilitySummary'!$B$18</f>
        <v>0.0012000000000000001</v>
      </c>
      <c r="M15" s="66">
        <f>'[1]reliabilitySummary'!$B$20</f>
        <v>0.0006000000000000001</v>
      </c>
      <c r="N15" s="66">
        <f>'[1]reliabilitySummary'!$B$24</f>
        <v>0.0006000000000000001</v>
      </c>
      <c r="O15" s="66">
        <f>'[1]reliabilitySummary'!$B$25</f>
        <v>0.0018000000000000002</v>
      </c>
      <c r="P15" s="66">
        <f>'[1]reliabilitySummary'!$B$26</f>
        <v>0.0006000000000000001</v>
      </c>
      <c r="Q15" s="66">
        <f>'[1]reliabilitySummary'!$B$27</f>
        <v>0.0018000000000000002</v>
      </c>
      <c r="R15" s="66">
        <f>'[1]reliabilitySummary'!$B$11</f>
        <v>0.0012000000000000001</v>
      </c>
      <c r="S15" s="66">
        <f>'[1]reliabilitySummary'!$B$28</f>
        <v>0.0006000000000000001</v>
      </c>
      <c r="T15" s="66"/>
      <c r="U15" s="66">
        <v>0.03</v>
      </c>
      <c r="V15" s="67"/>
    </row>
    <row r="16" spans="1:22" s="65" customFormat="1" ht="12.75">
      <c r="A16" s="62" t="s">
        <v>62</v>
      </c>
      <c r="B16" s="156">
        <f>GETPIVOTDATA("Sum of System 
Length",$A$3,"Group","RF")</f>
        <v>21.733333333279006</v>
      </c>
      <c r="C16" s="156">
        <f>GETPIVOTDATA("Sum of System 
Length",$A$3,"Group","DIA")</f>
        <v>5.349999999802094</v>
      </c>
      <c r="D16" s="155">
        <f>GETPIVOTDATA("Sum of System 
Length",$A$3,"Group","PS")</f>
        <v>12.483333333337214</v>
      </c>
      <c r="E16" s="155">
        <f>GETPIVOTDATA("Sum of System 
Length",$A$3,"Group","CTL")</f>
        <v>0.9833333333954215</v>
      </c>
      <c r="F16" s="155">
        <f>GETPIVOTDATA("Sum of System 
Length",$A$3,"Group","SI")</f>
        <v>0.933333333407063</v>
      </c>
      <c r="G16" s="155"/>
      <c r="H16" s="158"/>
      <c r="I16" s="155">
        <f>GETPIVOTDATA("Sum of System 
Length",$A$3,"Group","MOM")</f>
        <v>6.416666666627862</v>
      </c>
      <c r="J16" s="155"/>
      <c r="K16" s="154"/>
      <c r="L16" s="155">
        <f>GETPIVOTDATA("Sum of System 
Length",$A$3,"Group","AOP")</f>
        <v>0.56666666676756</v>
      </c>
      <c r="N16" s="158"/>
      <c r="O16" s="154" t="e">
        <f>GETPIVOTDATA("Sum of System 
Length",$A$3,"Group","ComEd")</f>
        <v>#REF!</v>
      </c>
      <c r="P16" s="154"/>
      <c r="Q16" s="154">
        <f>GETPIVOTDATA("Sum of System 
Length",$A$3,"Group","OTH")</f>
        <v>2.983333333279006</v>
      </c>
      <c r="R16" s="158"/>
      <c r="S16" s="154">
        <f>GETPIVOTDATA("Sum of System 
Length",$A$3,"Group","UNK")</f>
        <v>0.41666666662786156</v>
      </c>
      <c r="T16" s="154" t="e">
        <f>GETPIVOTDATA("Sum of System 
Length",$A$3,"Group","OPS")</f>
        <v>#REF!</v>
      </c>
      <c r="U16" s="68" t="e">
        <f>SUM(B16:T16)</f>
        <v>#REF!</v>
      </c>
      <c r="V16" s="69"/>
    </row>
    <row r="17" spans="1:21" ht="12.75">
      <c r="A17" s="71" t="s">
        <v>63</v>
      </c>
      <c r="B17">
        <f>GETPIVOTDATA("Sum - Store Lost",$A$3,"Group","RF")</f>
        <v>18</v>
      </c>
      <c r="C17">
        <f>GETPIVOTDATA("Sum - Store Lost",$A$3,"Group","DIA")</f>
        <v>4</v>
      </c>
      <c r="D17">
        <f>GETPIVOTDATA("Sum - Store Lost",$A$3,"Group","PS")</f>
        <v>7</v>
      </c>
      <c r="E17">
        <f>GETPIVOTDATA("Sum - Store Lost",$A$3,"Group","CTL")</f>
        <v>2</v>
      </c>
      <c r="F17">
        <f>GETPIVOTDATA("Sum - Store Lost",$A$3,"Group","SI")</f>
        <v>1</v>
      </c>
      <c r="I17">
        <f>GETPIVOTDATA("Sum - Store Lost",$A$3,"Group","MOM")</f>
        <v>0</v>
      </c>
      <c r="L17">
        <f>GETPIVOTDATA("Sum - Store Lost",$A$3,"Group","AOP")</f>
        <v>1</v>
      </c>
      <c r="O17" t="e">
        <f>GETPIVOTDATA("Sum - Store Lost",$A$3,"Group","ComEd")</f>
        <v>#REF!</v>
      </c>
      <c r="Q17">
        <f>GETPIVOTDATA("Sum - Store Lost",$A$3,"Group","OTH")</f>
        <v>0</v>
      </c>
      <c r="S17">
        <f>GETPIVOTDATA("Sum - Store Lost",$A$3,"Group","UNK")</f>
        <v>1</v>
      </c>
      <c r="T17" t="e">
        <f>GETPIVOTDATA("Sum - Store Lost",$A$3,"Group","OPS")</f>
        <v>#REF!</v>
      </c>
      <c r="U17" s="68" t="e">
        <f>SUM(B17:S17)</f>
        <v>#REF!</v>
      </c>
    </row>
    <row r="18" spans="1:21" ht="12.75">
      <c r="A18" s="71"/>
      <c r="B18" s="70"/>
      <c r="C18" s="70"/>
      <c r="D18" s="70"/>
      <c r="E18" s="70"/>
      <c r="G18" s="70"/>
      <c r="H18" s="70"/>
      <c r="I18" s="70"/>
      <c r="N18" s="70"/>
      <c r="P18" s="70"/>
      <c r="U18" s="68"/>
    </row>
    <row r="19" spans="1:21" ht="13.5" thickBot="1">
      <c r="A19" s="71"/>
      <c r="B19" s="158"/>
      <c r="C19" s="70"/>
      <c r="D19" s="70"/>
      <c r="E19" s="70"/>
      <c r="G19" s="70"/>
      <c r="H19" s="70"/>
      <c r="I19" s="70"/>
      <c r="N19" s="70"/>
      <c r="P19" s="70"/>
      <c r="U19" s="68"/>
    </row>
    <row r="20" spans="2:21" ht="12.75">
      <c r="B20" s="57" t="s">
        <v>23</v>
      </c>
      <c r="C20" s="58" t="s">
        <v>44</v>
      </c>
      <c r="D20" s="58" t="s">
        <v>22</v>
      </c>
      <c r="E20" s="58" t="s">
        <v>45</v>
      </c>
      <c r="F20" s="58" t="s">
        <v>46</v>
      </c>
      <c r="G20" s="58" t="s">
        <v>47</v>
      </c>
      <c r="H20" s="58" t="s">
        <v>48</v>
      </c>
      <c r="I20" s="58" t="s">
        <v>24</v>
      </c>
      <c r="J20" s="58" t="s">
        <v>50</v>
      </c>
      <c r="K20" s="58"/>
      <c r="L20" s="58" t="s">
        <v>51</v>
      </c>
      <c r="M20" s="58" t="s">
        <v>52</v>
      </c>
      <c r="N20" s="58" t="s">
        <v>53</v>
      </c>
      <c r="O20" s="58" t="s">
        <v>54</v>
      </c>
      <c r="P20" s="58" t="s">
        <v>55</v>
      </c>
      <c r="Q20" s="58" t="s">
        <v>56</v>
      </c>
      <c r="R20" s="59" t="s">
        <v>57</v>
      </c>
      <c r="S20" s="60" t="s">
        <v>58</v>
      </c>
      <c r="T20" s="60"/>
      <c r="U20" s="68"/>
    </row>
    <row r="21" spans="1:21" ht="12.75">
      <c r="A21" s="120" t="s">
        <v>100</v>
      </c>
      <c r="B21" s="72">
        <f aca="true" t="shared" si="0" ref="B21:I21">B17/($B24/24)</f>
        <v>0.2747858536171507</v>
      </c>
      <c r="C21" s="73">
        <f t="shared" si="0"/>
        <v>0.06106352302603349</v>
      </c>
      <c r="D21" s="73">
        <f t="shared" si="0"/>
        <v>0.10686116529555861</v>
      </c>
      <c r="E21" s="73">
        <f t="shared" si="0"/>
        <v>0.030531761513016745</v>
      </c>
      <c r="F21" s="72">
        <f t="shared" si="0"/>
        <v>0.015265880756508372</v>
      </c>
      <c r="G21" s="72">
        <f t="shared" si="0"/>
        <v>0</v>
      </c>
      <c r="H21" s="72">
        <f t="shared" si="0"/>
        <v>0</v>
      </c>
      <c r="I21" s="72">
        <f t="shared" si="0"/>
        <v>0</v>
      </c>
      <c r="J21" s="73">
        <f>J17/($B24/24)</f>
        <v>0</v>
      </c>
      <c r="K21" s="73"/>
      <c r="L21" s="73">
        <f>L17/($B24/24)</f>
        <v>0.015265880756508372</v>
      </c>
      <c r="M21" s="72">
        <f>M17/($B24/24)</f>
        <v>0</v>
      </c>
      <c r="N21" s="73"/>
      <c r="O21" s="72" t="e">
        <f aca="true" t="shared" si="1" ref="O21:U21">O17/($B24/24)</f>
        <v>#REF!</v>
      </c>
      <c r="P21" s="72">
        <f t="shared" si="1"/>
        <v>0</v>
      </c>
      <c r="Q21" s="73">
        <f>Q17/($B24/24)</f>
        <v>0</v>
      </c>
      <c r="R21" s="72">
        <f t="shared" si="1"/>
        <v>0</v>
      </c>
      <c r="S21" s="72">
        <f t="shared" si="1"/>
        <v>0.015265880756508372</v>
      </c>
      <c r="T21" s="72"/>
      <c r="U21" s="72" t="e">
        <f t="shared" si="1"/>
        <v>#REF!</v>
      </c>
    </row>
    <row r="22" spans="1:22" ht="12.75">
      <c r="A22" s="74" t="s">
        <v>61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0.02</v>
      </c>
      <c r="K22" s="75"/>
      <c r="L22" s="76">
        <v>0</v>
      </c>
      <c r="M22" s="76">
        <v>0.01</v>
      </c>
      <c r="N22" s="76">
        <v>0.01</v>
      </c>
      <c r="O22" s="76">
        <v>0.01</v>
      </c>
      <c r="P22" s="76">
        <v>0.01</v>
      </c>
      <c r="Q22" s="76">
        <v>0.02</v>
      </c>
      <c r="R22" s="76">
        <v>0.01</v>
      </c>
      <c r="S22" s="76">
        <v>0.02</v>
      </c>
      <c r="T22" s="76"/>
      <c r="U22" s="76">
        <f>SUM(B22:S22)</f>
        <v>0.5950000000000001</v>
      </c>
      <c r="V22" s="77"/>
    </row>
    <row r="24" spans="1:2" ht="12.75">
      <c r="A24" s="34" t="s">
        <v>31</v>
      </c>
      <c r="B24" s="65">
        <f>'Main Data'!D77</f>
        <v>1572.1333333334187</v>
      </c>
    </row>
    <row r="25" spans="1:2" ht="12.75">
      <c r="A25" s="78" t="s">
        <v>35</v>
      </c>
      <c r="B25" s="76">
        <f>'Main Data'!D79</f>
        <v>1623.9999999999418</v>
      </c>
    </row>
    <row r="29" ht="12.75">
      <c r="A29" s="79"/>
    </row>
    <row r="35" ht="12.75">
      <c r="A35" s="80" t="s">
        <v>64</v>
      </c>
    </row>
    <row r="36" spans="1:6" ht="12.75">
      <c r="A36" s="79"/>
      <c r="B36" s="81"/>
      <c r="C36" s="82" t="s">
        <v>12</v>
      </c>
      <c r="D36" s="81"/>
      <c r="E36" s="81"/>
      <c r="F36" s="83"/>
    </row>
    <row r="37" spans="1:6" ht="12.75">
      <c r="A37" s="82" t="s">
        <v>15</v>
      </c>
      <c r="B37" s="82" t="s">
        <v>39</v>
      </c>
      <c r="C37" s="79" t="s">
        <v>22</v>
      </c>
      <c r="D37" s="84" t="s">
        <v>23</v>
      </c>
      <c r="E37" s="84" t="s">
        <v>65</v>
      </c>
      <c r="F37" s="85" t="s">
        <v>59</v>
      </c>
    </row>
    <row r="38" spans="1:6" ht="12.75">
      <c r="A38" s="79" t="s">
        <v>17</v>
      </c>
      <c r="B38" s="79" t="s">
        <v>41</v>
      </c>
      <c r="C38" s="86"/>
      <c r="D38" s="87">
        <v>1</v>
      </c>
      <c r="E38" s="87">
        <v>1</v>
      </c>
      <c r="F38" s="88">
        <v>2</v>
      </c>
    </row>
    <row r="39" spans="1:6" ht="12.75">
      <c r="A39" s="89"/>
      <c r="B39" s="90" t="s">
        <v>40</v>
      </c>
      <c r="C39" s="91"/>
      <c r="D39" s="70">
        <v>0</v>
      </c>
      <c r="E39" s="70">
        <v>0</v>
      </c>
      <c r="F39" s="92">
        <v>0</v>
      </c>
    </row>
    <row r="40" spans="1:6" ht="12.75">
      <c r="A40" s="79" t="s">
        <v>66</v>
      </c>
      <c r="B40" s="79" t="s">
        <v>41</v>
      </c>
      <c r="C40" s="86">
        <v>0</v>
      </c>
      <c r="D40" s="87"/>
      <c r="E40" s="87"/>
      <c r="F40" s="88">
        <v>0</v>
      </c>
    </row>
    <row r="41" spans="1:6" ht="12.75">
      <c r="A41" s="89"/>
      <c r="B41" s="90" t="s">
        <v>40</v>
      </c>
      <c r="C41" s="91">
        <v>1</v>
      </c>
      <c r="D41" s="70"/>
      <c r="E41" s="70"/>
      <c r="F41" s="92">
        <v>1</v>
      </c>
    </row>
    <row r="42" spans="1:6" ht="12.75">
      <c r="A42" s="79" t="s">
        <v>43</v>
      </c>
      <c r="B42" s="81"/>
      <c r="C42" s="86">
        <v>0</v>
      </c>
      <c r="D42" s="87">
        <v>1</v>
      </c>
      <c r="E42" s="87">
        <v>1</v>
      </c>
      <c r="F42" s="88">
        <v>2</v>
      </c>
    </row>
    <row r="43" spans="1:6" ht="12.75">
      <c r="A43" s="93" t="s">
        <v>42</v>
      </c>
      <c r="B43" s="94"/>
      <c r="C43" s="95">
        <v>1</v>
      </c>
      <c r="D43" s="121">
        <v>0</v>
      </c>
      <c r="E43" s="121">
        <v>0</v>
      </c>
      <c r="F43" s="96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63">
      <selection activeCell="A63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Flood, Randy J.</cp:lastModifiedBy>
  <cp:lastPrinted>2021-09-30T19:37:28Z</cp:lastPrinted>
  <dcterms:created xsi:type="dcterms:W3CDTF">1998-01-15T00:06:45Z</dcterms:created>
  <dcterms:modified xsi:type="dcterms:W3CDTF">2021-09-30T19:37:43Z</dcterms:modified>
  <cp:category/>
  <cp:version/>
  <cp:contentType/>
  <cp:contentStatus/>
  <cp:revision>5</cp:revision>
</cp:coreProperties>
</file>