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5" yWindow="65386" windowWidth="14430" windowHeight="10680" tabRatio="927" activeTab="2"/>
  </bookViews>
  <sheets>
    <sheet name="Main Data" sheetId="1" r:id="rId1"/>
    <sheet name="Stats" sheetId="2" r:id="rId2"/>
    <sheet name="Downtime" sheetId="3" r:id="rId3"/>
    <sheet name="Faults Per Day" sheetId="4" r:id="rId4"/>
  </sheets>
  <externalReferences>
    <externalReference r:id="rId8"/>
  </externalReferences>
  <definedNames>
    <definedName name="DT_Beamline">"$#REF!.$U$34"</definedName>
    <definedName name="DT_Controls">"$#REF!.$J$34"</definedName>
    <definedName name="DT_Diagnostics">"$#REF!.$L$34"</definedName>
    <definedName name="DT_OAG">"$#REF!.$I$34"</definedName>
    <definedName name="DT_Operations">"$#REF!.$K$34"</definedName>
    <definedName name="DT_Other">"$#REF!.$C$34"</definedName>
    <definedName name="DT_Physics">"$#REF!.$M$34"</definedName>
    <definedName name="DT_PS">"$#REF!.$D$34"</definedName>
    <definedName name="DT_RF">"$#REF!.$E$34"</definedName>
    <definedName name="DT_Scheduled">"$#REF!.$F$34"</definedName>
    <definedName name="DT_Vacuum">"$#REF!.$G$34"</definedName>
    <definedName name="DT_Water">"$#REF!.$H$34"</definedName>
    <definedName name="Excel_BuiltIn_Print_Area_11">'Main Data'!$A$2:$P$4</definedName>
    <definedName name="Excel_BuiltIn_Print_Area_1_1">'Main Data'!$A$2:$P$45</definedName>
    <definedName name="Excel_BuiltIn_Print_Area_1_1_1">'Main Data'!$A$2:$P$67</definedName>
    <definedName name="Excel_BuiltIn_Print_Area_1_1_11">'Main Data'!$A$2:$P$68</definedName>
    <definedName name="Excel_BuiltIn_Print_Area_1_1_1_1">'Main Data'!$A$2:$P$53</definedName>
    <definedName name="Excel_BuiltIn_Print_Area_41">'Faults Per Day'!$A$1:$W$67</definedName>
    <definedName name="Faults_Day_of_Delivered_Beam">'Main Data'!$D$96</definedName>
    <definedName name="Mean_Time_Between_Faults">'Main Data'!$D$95</definedName>
    <definedName name="Number_of_Fills">'Main Data'!$D$88</definedName>
    <definedName name="Number_of_Intentional_Dumps">'Main Data'!$D$87</definedName>
    <definedName name="Number_of_Lost_Fills">'Main Data'!$D$86</definedName>
    <definedName name="_xlnm.Print_Area" localSheetId="3">'Faults Per Day'!$A$1:$AC$81</definedName>
    <definedName name="_xlnm.Print_Area" localSheetId="0">'Main Data'!$A$2:$P$54</definedName>
    <definedName name="_xlnm.Print_Titles" localSheetId="0">'Main Data'!$4:$4</definedName>
    <definedName name="Refill_Time">'Main Data'!$D$1</definedName>
    <definedName name="Total_Schedule_Run_Length">'Main Data'!$D$92</definedName>
    <definedName name="Total_System_Downtime">'Main Data'!$K$88</definedName>
    <definedName name="Total_User_Beam">'Main Data'!$D$90</definedName>
    <definedName name="Total_User_Downtime">'Main Data'!$D$91</definedName>
    <definedName name="User_Beam_Days">'Main Data'!$E$90</definedName>
    <definedName name="X_ray_Availability">'Main Data'!$D$97</definedName>
  </definedNames>
  <calcPr fullCalcOnLoad="1"/>
  <pivotCaches>
    <pivotCache cacheId="7" r:id="rId5"/>
  </pivotCaches>
</workbook>
</file>

<file path=xl/sharedStrings.xml><?xml version="1.0" encoding="utf-8"?>
<sst xmlns="http://schemas.openxmlformats.org/spreadsheetml/2006/main" count="208" uniqueCount="84">
  <si>
    <t>Default Storage Ring Refill Time</t>
  </si>
  <si>
    <t xml:space="preserve">     </t>
  </si>
  <si>
    <t>Refill Timing in Days</t>
  </si>
  <si>
    <t>Fill #</t>
  </si>
  <si>
    <t>Start</t>
  </si>
  <si>
    <t>End</t>
  </si>
  <si>
    <t>Length</t>
  </si>
  <si>
    <t>Loss 
Reason</t>
  </si>
  <si>
    <t>DIN #</t>
  </si>
  <si>
    <t>Audit</t>
  </si>
  <si>
    <t>User 
Length</t>
  </si>
  <si>
    <t>System
Length</t>
  </si>
  <si>
    <t>Cause</t>
  </si>
  <si>
    <t>System</t>
  </si>
  <si>
    <t>Group</t>
  </si>
  <si>
    <t>Type</t>
  </si>
  <si>
    <t>Description</t>
  </si>
  <si>
    <t>Store Lost</t>
  </si>
  <si>
    <t>Intention. Dump</t>
  </si>
  <si>
    <t>Inhibits Beam</t>
  </si>
  <si>
    <t>TOTAL</t>
  </si>
  <si>
    <t>Scheduled</t>
  </si>
  <si>
    <t>PS</t>
  </si>
  <si>
    <t>RF</t>
  </si>
  <si>
    <t>MOM</t>
  </si>
  <si>
    <t>Number of Lost Fills</t>
  </si>
  <si>
    <t>Downtime</t>
  </si>
  <si>
    <t>Number of Intentional Dumps</t>
  </si>
  <si>
    <t>User</t>
  </si>
  <si>
    <t>Number of Fills</t>
  </si>
  <si>
    <t>SL</t>
  </si>
  <si>
    <t>Inhibits</t>
  </si>
  <si>
    <t>Total User Beam</t>
  </si>
  <si>
    <t>User Beam days</t>
  </si>
  <si>
    <t>Total User Downtime</t>
  </si>
  <si>
    <t>&lt;-- This downtime includes Gaps Open</t>
  </si>
  <si>
    <t>Total Schedule Run Length</t>
  </si>
  <si>
    <t>Mean Time Between Faults</t>
  </si>
  <si>
    <t>Faults/Day of Delivered Beam</t>
  </si>
  <si>
    <t>X-ray Availability</t>
  </si>
  <si>
    <t>Data</t>
  </si>
  <si>
    <t>Sum - Inhibits Beam</t>
  </si>
  <si>
    <t>Sum - Store Lost</t>
  </si>
  <si>
    <t>Total Sum - Inhibits Beam</t>
  </si>
  <si>
    <t>Total Sum - Store Lost</t>
  </si>
  <si>
    <t>Diag</t>
  </si>
  <si>
    <t>Controls</t>
  </si>
  <si>
    <t>Accelerator Intlks</t>
  </si>
  <si>
    <t>Radiation Intlks</t>
  </si>
  <si>
    <t>Water/ME</t>
  </si>
  <si>
    <t>Operations</t>
  </si>
  <si>
    <t>Physics</t>
  </si>
  <si>
    <t>ID-FE</t>
  </si>
  <si>
    <t>Electrical-APS</t>
  </si>
  <si>
    <t>Electrical-ANL</t>
  </si>
  <si>
    <t>Cooling-ANL</t>
  </si>
  <si>
    <t>Other</t>
  </si>
  <si>
    <t>Network</t>
  </si>
  <si>
    <t>Unidentified</t>
  </si>
  <si>
    <t>Grand Total</t>
  </si>
  <si>
    <t>Total Hours</t>
  </si>
  <si>
    <t>Budget</t>
  </si>
  <si>
    <t>Hours for Run</t>
  </si>
  <si>
    <t xml:space="preserve">Faults </t>
  </si>
  <si>
    <t>Filter</t>
  </si>
  <si>
    <t>Sum of System Length</t>
  </si>
  <si>
    <t>Int Dump: End of Period</t>
  </si>
  <si>
    <t>AOP</t>
  </si>
  <si>
    <t xml:space="preserve"> </t>
  </si>
  <si>
    <t>Inhibits Beam to User</t>
  </si>
  <si>
    <t>VAC</t>
  </si>
  <si>
    <t>RF4 HVPS trip [RF]</t>
  </si>
  <si>
    <t>Inhibits Beam To User</t>
  </si>
  <si>
    <t>Downtime for Run 2021-3</t>
  </si>
  <si>
    <t>MCR</t>
  </si>
  <si>
    <t>S:BM Ground Fault [MOM]</t>
  </si>
  <si>
    <t>RF-4 Anode OI [RF]</t>
  </si>
  <si>
    <t>Orbit control issue</t>
  </si>
  <si>
    <t>RF-1 Kalmus trip [RF]</t>
  </si>
  <si>
    <t>RF airflow error [RF]</t>
  </si>
  <si>
    <t>S30B:H2 glitch [PS]</t>
  </si>
  <si>
    <t>26ID Orbit Error [AOP]</t>
  </si>
  <si>
    <t>S2A:H3 Glitch [PS]</t>
  </si>
  <si>
    <t>Run 2021-3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</si>
</sst>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\ hh:mm"/>
    <numFmt numFmtId="165" formatCode="0.00;[Red]0.00;[Blue]&quot;ZERO!!!&quot;"/>
    <numFmt numFmtId="166" formatCode="mm/dd/yy\ hh:mm\ "/>
    <numFmt numFmtId="167" formatCode="0.0"/>
    <numFmt numFmtId="168" formatCode="&quot; $&quot;#,##0.00\ ;&quot; $(&quot;#,##0.00\);&quot; $-&quot;#\ ;@\ "/>
    <numFmt numFmtId="169" formatCode="0.0%"/>
    <numFmt numFmtId="170" formatCode="0.000000\ ;[Red]\(0.000000\)"/>
    <numFmt numFmtId="171" formatCode="0.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mmm\-yyyy"/>
    <numFmt numFmtId="177" formatCode="[$-409]dddd\,\ mmmm\ dd\,\ yyyy"/>
  </numFmts>
  <fonts count="5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b/>
      <sz val="13.9"/>
      <color indexed="8"/>
      <name val="Arial"/>
      <family val="0"/>
    </font>
    <font>
      <sz val="23"/>
      <color indexed="8"/>
      <name val="Arial"/>
      <family val="0"/>
    </font>
    <font>
      <b/>
      <sz val="18.8"/>
      <color indexed="8"/>
      <name val="Arial"/>
      <family val="0"/>
    </font>
    <font>
      <b/>
      <sz val="17.1"/>
      <color indexed="8"/>
      <name val="Arial"/>
      <family val="0"/>
    </font>
    <font>
      <sz val="13.35"/>
      <color indexed="8"/>
      <name val="Arial"/>
      <family val="0"/>
    </font>
    <font>
      <sz val="12"/>
      <color indexed="8"/>
      <name val="Arial"/>
      <family val="0"/>
    </font>
    <font>
      <sz val="39.9"/>
      <color indexed="8"/>
      <name val="Arial"/>
      <family val="0"/>
    </font>
    <font>
      <b/>
      <sz val="39.9"/>
      <color indexed="8"/>
      <name val="Arial"/>
      <family val="0"/>
    </font>
    <font>
      <b/>
      <sz val="44.6"/>
      <color indexed="8"/>
      <name val="Arial"/>
      <family val="0"/>
    </font>
    <font>
      <sz val="9.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66FFFF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rgb="FF999999"/>
      </left>
      <right>
        <color indexed="63"/>
      </right>
      <top style="thin">
        <color rgb="FF999999"/>
      </top>
      <bottom>
        <color indexed="63"/>
      </bottom>
    </border>
    <border>
      <left style="thin"/>
      <right>
        <color indexed="63"/>
      </right>
      <top style="thin">
        <color rgb="FF999999"/>
      </top>
      <bottom>
        <color indexed="63"/>
      </bottom>
    </border>
    <border>
      <left style="thin"/>
      <right style="thin">
        <color rgb="FF999999"/>
      </right>
      <top style="thin">
        <color rgb="FF999999"/>
      </top>
      <bottom>
        <color indexed="63"/>
      </bottom>
    </border>
    <border>
      <left>
        <color indexed="63"/>
      </left>
      <right>
        <color indexed="63"/>
      </right>
      <top style="thin">
        <color rgb="FF999999"/>
      </top>
      <bottom>
        <color indexed="63"/>
      </bottom>
    </border>
    <border>
      <left style="thin">
        <color rgb="FF999999"/>
      </left>
      <right style="thin">
        <color rgb="FF999999"/>
      </right>
      <top style="thin">
        <color rgb="FF999999"/>
      </top>
      <bottom>
        <color indexed="63"/>
      </bottom>
    </border>
    <border>
      <left style="thin">
        <color rgb="FF999999"/>
      </left>
      <right>
        <color indexed="63"/>
      </right>
      <top>
        <color indexed="63"/>
      </top>
      <bottom>
        <color indexed="63"/>
      </bottom>
    </border>
    <border>
      <left style="thin">
        <color rgb="FF999999"/>
      </left>
      <right style="thin">
        <color rgb="FF999999"/>
      </right>
      <top>
        <color indexed="63"/>
      </top>
      <bottom>
        <color indexed="63"/>
      </bottom>
    </border>
    <border>
      <left style="thin">
        <color rgb="FF999999"/>
      </left>
      <right>
        <color indexed="63"/>
      </right>
      <top>
        <color indexed="63"/>
      </top>
      <bottom style="thin">
        <color rgb="FF999999"/>
      </bottom>
    </border>
    <border>
      <left>
        <color indexed="63"/>
      </left>
      <right>
        <color indexed="63"/>
      </right>
      <top>
        <color indexed="63"/>
      </top>
      <bottom style="thin">
        <color rgb="FF999999"/>
      </bottom>
    </border>
    <border>
      <left style="thin">
        <color rgb="FF999999"/>
      </left>
      <right style="thin">
        <color rgb="FF999999"/>
      </right>
      <top>
        <color indexed="63"/>
      </top>
      <bottom style="thin">
        <color rgb="FF999999"/>
      </bottom>
    </border>
    <border>
      <left style="thin">
        <color rgb="FF999999"/>
      </left>
      <right>
        <color indexed="63"/>
      </right>
      <top style="thin">
        <color rgb="FF999999"/>
      </top>
      <bottom style="thin">
        <color rgb="FF999999"/>
      </bottom>
    </border>
    <border>
      <left>
        <color indexed="63"/>
      </left>
      <right>
        <color indexed="63"/>
      </right>
      <top style="thin">
        <color rgb="FF999999"/>
      </top>
      <bottom style="thin">
        <color rgb="FF999999"/>
      </bottom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</border>
    <border>
      <left style="thin">
        <color rgb="FF99999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rgb="FF999999"/>
      </top>
      <bottom style="thin">
        <color rgb="FF999999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8" fontId="0" fillId="0" borderId="0" applyFill="0" applyBorder="0" applyAlignment="0" applyProtection="0"/>
    <xf numFmtId="42" fontId="0" fillId="0" borderId="0" applyFill="0" applyBorder="0" applyAlignment="0" applyProtection="0"/>
    <xf numFmtId="0" fontId="0" fillId="0" borderId="0" applyNumberFormat="0" applyFill="0" applyBorder="0" applyProtection="0">
      <alignment horizontal="left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Protection="0">
      <alignment horizontal="left"/>
    </xf>
    <xf numFmtId="0" fontId="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76">
    <xf numFmtId="0" fontId="0" fillId="0" borderId="0" xfId="0" applyAlignment="1">
      <alignment/>
    </xf>
    <xf numFmtId="0" fontId="0" fillId="0" borderId="0" xfId="0" applyNumberFormat="1" applyFont="1" applyAlignment="1">
      <alignment horizontal="right"/>
    </xf>
    <xf numFmtId="164" fontId="0" fillId="0" borderId="0" xfId="0" applyNumberFormat="1" applyFont="1" applyAlignment="1">
      <alignment/>
    </xf>
    <xf numFmtId="2" fontId="0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right"/>
    </xf>
    <xf numFmtId="165" fontId="1" fillId="0" borderId="0" xfId="0" applyNumberFormat="1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0" fontId="0" fillId="0" borderId="0" xfId="0" applyNumberFormat="1" applyFont="1" applyFill="1" applyAlignment="1">
      <alignment horizontal="left"/>
    </xf>
    <xf numFmtId="164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164" fontId="0" fillId="0" borderId="0" xfId="0" applyNumberFormat="1" applyFont="1" applyFill="1" applyAlignment="1">
      <alignment horizontal="right"/>
    </xf>
    <xf numFmtId="165" fontId="1" fillId="0" borderId="0" xfId="0" applyNumberFormat="1" applyFont="1" applyFill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 locked="0"/>
    </xf>
    <xf numFmtId="0" fontId="0" fillId="0" borderId="0" xfId="0" applyFill="1" applyAlignment="1">
      <alignment wrapText="1"/>
    </xf>
    <xf numFmtId="0" fontId="0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 locked="0"/>
    </xf>
    <xf numFmtId="0" fontId="0" fillId="0" borderId="0" xfId="0" applyNumberFormat="1" applyFont="1" applyFill="1" applyAlignment="1">
      <alignment horizontal="right"/>
    </xf>
    <xf numFmtId="0" fontId="0" fillId="0" borderId="0" xfId="0" applyNumberFormat="1" applyFont="1" applyFill="1" applyAlignment="1">
      <alignment horizontal="center"/>
    </xf>
    <xf numFmtId="0" fontId="0" fillId="0" borderId="0" xfId="0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textRotation="90"/>
    </xf>
    <xf numFmtId="0" fontId="1" fillId="0" borderId="11" xfId="0" applyFont="1" applyFill="1" applyBorder="1" applyAlignment="1">
      <alignment horizontal="center" textRotation="90"/>
    </xf>
    <xf numFmtId="0" fontId="0" fillId="0" borderId="0" xfId="0" applyNumberFormat="1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164" fontId="1" fillId="0" borderId="0" xfId="0" applyNumberFormat="1" applyFont="1" applyFill="1" applyAlignment="1">
      <alignment horizontal="right"/>
    </xf>
    <xf numFmtId="1" fontId="0" fillId="0" borderId="0" xfId="0" applyNumberFormat="1" applyFont="1" applyFill="1" applyAlignment="1">
      <alignment horizontal="right"/>
    </xf>
    <xf numFmtId="165" fontId="1" fillId="0" borderId="0" xfId="0" applyNumberFormat="1" applyFont="1" applyFill="1" applyAlignment="1">
      <alignment horizontal="right"/>
    </xf>
    <xf numFmtId="165" fontId="0" fillId="0" borderId="0" xfId="0" applyNumberFormat="1" applyFont="1" applyFill="1" applyAlignment="1">
      <alignment horizontal="right"/>
    </xf>
    <xf numFmtId="0" fontId="0" fillId="0" borderId="0" xfId="0" applyFont="1" applyFill="1" applyAlignment="1" applyProtection="1">
      <alignment horizontal="left"/>
      <protection/>
    </xf>
    <xf numFmtId="165" fontId="0" fillId="0" borderId="0" xfId="0" applyNumberFormat="1" applyFont="1" applyFill="1" applyAlignment="1">
      <alignment/>
    </xf>
    <xf numFmtId="1" fontId="0" fillId="0" borderId="12" xfId="0" applyNumberFormat="1" applyFont="1" applyFill="1" applyBorder="1" applyAlignment="1">
      <alignment horizontal="right"/>
    </xf>
    <xf numFmtId="2" fontId="0" fillId="0" borderId="12" xfId="0" applyNumberFormat="1" applyFont="1" applyFill="1" applyBorder="1" applyAlignment="1">
      <alignment horizontal="right"/>
    </xf>
    <xf numFmtId="22" fontId="0" fillId="0" borderId="0" xfId="0" applyNumberFormat="1" applyFont="1" applyFill="1" applyAlignment="1">
      <alignment/>
    </xf>
    <xf numFmtId="167" fontId="2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2" fontId="0" fillId="0" borderId="0" xfId="0" applyNumberFormat="1" applyFont="1" applyFill="1" applyBorder="1" applyAlignment="1">
      <alignment horizontal="right"/>
    </xf>
    <xf numFmtId="17" fontId="0" fillId="0" borderId="0" xfId="0" applyNumberFormat="1" applyFill="1" applyAlignment="1">
      <alignment/>
    </xf>
    <xf numFmtId="1" fontId="0" fillId="0" borderId="0" xfId="0" applyNumberFormat="1" applyFill="1" applyAlignment="1">
      <alignment wrapText="1"/>
    </xf>
    <xf numFmtId="2" fontId="0" fillId="0" borderId="0" xfId="44" applyNumberFormat="1" applyFont="1" applyFill="1" applyBorder="1" applyAlignment="1" applyProtection="1">
      <alignment horizontal="right"/>
      <protection/>
    </xf>
    <xf numFmtId="165" fontId="0" fillId="0" borderId="0" xfId="0" applyNumberFormat="1" applyFont="1" applyAlignment="1">
      <alignment/>
    </xf>
    <xf numFmtId="17" fontId="2" fillId="0" borderId="0" xfId="0" applyNumberFormat="1" applyFont="1" applyFill="1" applyAlignment="1">
      <alignment/>
    </xf>
    <xf numFmtId="17" fontId="0" fillId="0" borderId="0" xfId="0" applyNumberFormat="1" applyFont="1" applyFill="1" applyAlignment="1">
      <alignment horizontal="center"/>
    </xf>
    <xf numFmtId="17" fontId="0" fillId="0" borderId="0" xfId="0" applyNumberFormat="1" applyFont="1" applyFill="1" applyBorder="1" applyAlignment="1">
      <alignment horizontal="center"/>
    </xf>
    <xf numFmtId="169" fontId="0" fillId="0" borderId="0" xfId="63" applyNumberFormat="1" applyFont="1" applyFill="1" applyBorder="1" applyAlignment="1" applyProtection="1">
      <alignment horizontal="right"/>
      <protection/>
    </xf>
    <xf numFmtId="170" fontId="2" fillId="0" borderId="0" xfId="0" applyNumberFormat="1" applyFont="1" applyFill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1" fillId="0" borderId="15" xfId="0" applyFont="1" applyBorder="1" applyAlignment="1" applyProtection="1">
      <alignment/>
      <protection locked="0"/>
    </xf>
    <xf numFmtId="0" fontId="1" fillId="0" borderId="16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right"/>
      <protection locked="0"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Alignment="1" applyProtection="1">
      <alignment/>
      <protection locked="0"/>
    </xf>
    <xf numFmtId="169" fontId="1" fillId="0" borderId="0" xfId="0" applyNumberFormat="1" applyFont="1" applyBorder="1" applyAlignment="1" applyProtection="1">
      <alignment/>
      <protection locked="0"/>
    </xf>
    <xf numFmtId="2" fontId="1" fillId="0" borderId="0" xfId="0" applyNumberFormat="1" applyFont="1" applyBorder="1" applyAlignment="1" applyProtection="1">
      <alignment/>
      <protection locked="0"/>
    </xf>
    <xf numFmtId="2" fontId="0" fillId="0" borderId="0" xfId="0" applyNumberFormat="1" applyAlignment="1">
      <alignment/>
    </xf>
    <xf numFmtId="10" fontId="0" fillId="0" borderId="0" xfId="0" applyNumberFormat="1" applyBorder="1" applyAlignment="1" applyProtection="1">
      <alignment horizontal="right"/>
      <protection locked="0"/>
    </xf>
    <xf numFmtId="0" fontId="0" fillId="0" borderId="0" xfId="0" applyBorder="1" applyAlignment="1">
      <alignment horizontal="right"/>
    </xf>
    <xf numFmtId="2" fontId="1" fillId="0" borderId="0" xfId="0" applyNumberFormat="1" applyFont="1" applyBorder="1" applyAlignment="1" applyProtection="1">
      <alignment horizontal="right"/>
      <protection locked="0"/>
    </xf>
    <xf numFmtId="2" fontId="1" fillId="0" borderId="0" xfId="0" applyNumberFormat="1" applyFont="1" applyBorder="1" applyAlignment="1">
      <alignment horizontal="right"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167" fontId="0" fillId="0" borderId="0" xfId="0" applyNumberFormat="1" applyBorder="1" applyAlignment="1" applyProtection="1">
      <alignment/>
      <protection locked="0"/>
    </xf>
    <xf numFmtId="2" fontId="0" fillId="0" borderId="0" xfId="0" applyNumberFormat="1" applyBorder="1" applyAlignment="1" applyProtection="1">
      <alignment/>
      <protection locked="0"/>
    </xf>
    <xf numFmtId="169" fontId="0" fillId="0" borderId="0" xfId="63" applyNumberFormat="1" applyFont="1" applyFill="1" applyBorder="1" applyAlignment="1" applyProtection="1">
      <alignment vertical="top" wrapText="1"/>
      <protection locked="0"/>
    </xf>
    <xf numFmtId="2" fontId="0" fillId="0" borderId="0" xfId="63" applyNumberFormat="1" applyFont="1" applyFill="1" applyBorder="1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64" fontId="4" fillId="0" borderId="0" xfId="0" applyNumberFormat="1" applyFont="1" applyFill="1" applyAlignment="1">
      <alignment horizontal="right"/>
    </xf>
    <xf numFmtId="0" fontId="0" fillId="0" borderId="17" xfId="0" applyBorder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right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horizontal="left"/>
      <protection/>
    </xf>
    <xf numFmtId="2" fontId="0" fillId="33" borderId="18" xfId="0" applyNumberFormat="1" applyFont="1" applyFill="1" applyBorder="1" applyAlignment="1">
      <alignment horizontal="right"/>
    </xf>
    <xf numFmtId="0" fontId="0" fillId="0" borderId="0" xfId="0" applyNumberFormat="1" applyBorder="1" applyAlignment="1" applyProtection="1">
      <alignment/>
      <protection locked="0"/>
    </xf>
    <xf numFmtId="0" fontId="1" fillId="0" borderId="19" xfId="0" applyNumberFormat="1" applyFont="1" applyFill="1" applyBorder="1" applyAlignment="1">
      <alignment horizontal="center" textRotation="90"/>
    </xf>
    <xf numFmtId="164" fontId="1" fillId="0" borderId="19" xfId="0" applyNumberFormat="1" applyFont="1" applyFill="1" applyBorder="1" applyAlignment="1">
      <alignment horizontal="center"/>
    </xf>
    <xf numFmtId="2" fontId="1" fillId="0" borderId="19" xfId="0" applyNumberFormat="1" applyFont="1" applyFill="1" applyBorder="1" applyAlignment="1">
      <alignment horizontal="center" textRotation="90"/>
    </xf>
    <xf numFmtId="0" fontId="1" fillId="0" borderId="19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textRotation="90"/>
    </xf>
    <xf numFmtId="2" fontId="1" fillId="0" borderId="19" xfId="0" applyNumberFormat="1" applyFont="1" applyFill="1" applyBorder="1" applyAlignment="1">
      <alignment horizontal="center" textRotation="90" wrapText="1"/>
    </xf>
    <xf numFmtId="165" fontId="1" fillId="0" borderId="19" xfId="0" applyNumberFormat="1" applyFont="1" applyFill="1" applyBorder="1" applyAlignment="1">
      <alignment horizontal="center" textRotation="90" wrapText="1"/>
    </xf>
    <xf numFmtId="0" fontId="1" fillId="0" borderId="19" xfId="0" applyFont="1" applyFill="1" applyBorder="1" applyAlignment="1" applyProtection="1">
      <alignment horizontal="center"/>
      <protection/>
    </xf>
    <xf numFmtId="0" fontId="1" fillId="0" borderId="19" xfId="0" applyFont="1" applyFill="1" applyBorder="1" applyAlignment="1" applyProtection="1">
      <alignment horizontal="center"/>
      <protection locked="0"/>
    </xf>
    <xf numFmtId="0" fontId="0" fillId="34" borderId="20" xfId="0" applyNumberFormat="1" applyFont="1" applyFill="1" applyBorder="1" applyAlignment="1">
      <alignment horizontal="right"/>
    </xf>
    <xf numFmtId="164" fontId="0" fillId="34" borderId="21" xfId="0" applyNumberFormat="1" applyFont="1" applyFill="1" applyBorder="1" applyAlignment="1">
      <alignment horizontal="left"/>
    </xf>
    <xf numFmtId="2" fontId="0" fillId="35" borderId="20" xfId="0" applyNumberFormat="1" applyFont="1" applyFill="1" applyBorder="1" applyAlignment="1">
      <alignment horizontal="right"/>
    </xf>
    <xf numFmtId="164" fontId="0" fillId="34" borderId="20" xfId="0" applyNumberFormat="1" applyFont="1" applyFill="1" applyBorder="1" applyAlignment="1">
      <alignment/>
    </xf>
    <xf numFmtId="0" fontId="0" fillId="34" borderId="20" xfId="0" applyNumberFormat="1" applyFont="1" applyFill="1" applyBorder="1" applyAlignment="1">
      <alignment horizontal="center"/>
    </xf>
    <xf numFmtId="164" fontId="0" fillId="34" borderId="20" xfId="0" applyNumberFormat="1" applyFont="1" applyFill="1" applyBorder="1" applyAlignment="1">
      <alignment horizontal="center"/>
    </xf>
    <xf numFmtId="164" fontId="0" fillId="34" borderId="20" xfId="0" applyNumberFormat="1" applyFont="1" applyFill="1" applyBorder="1" applyAlignment="1">
      <alignment horizontal="left"/>
    </xf>
    <xf numFmtId="0" fontId="0" fillId="34" borderId="20" xfId="0" applyNumberFormat="1" applyFont="1" applyFill="1" applyBorder="1" applyAlignment="1" applyProtection="1">
      <alignment/>
      <protection/>
    </xf>
    <xf numFmtId="0" fontId="0" fillId="34" borderId="20" xfId="0" applyNumberFormat="1" applyFont="1" applyFill="1" applyBorder="1" applyAlignment="1" applyProtection="1">
      <alignment/>
      <protection locked="0"/>
    </xf>
    <xf numFmtId="0" fontId="0" fillId="34" borderId="20" xfId="0" applyNumberFormat="1" applyFont="1" applyFill="1" applyBorder="1" applyAlignment="1" applyProtection="1">
      <alignment horizontal="left"/>
      <protection/>
    </xf>
    <xf numFmtId="0" fontId="0" fillId="36" borderId="0" xfId="0" applyFill="1" applyBorder="1" applyAlignment="1">
      <alignment/>
    </xf>
    <xf numFmtId="0" fontId="0" fillId="36" borderId="0" xfId="0" applyNumberFormat="1" applyFont="1" applyFill="1" applyBorder="1" applyAlignment="1">
      <alignment/>
    </xf>
    <xf numFmtId="0" fontId="0" fillId="37" borderId="0" xfId="0" applyFill="1" applyBorder="1" applyAlignment="1">
      <alignment/>
    </xf>
    <xf numFmtId="0" fontId="0" fillId="37" borderId="0" xfId="0" applyNumberFormat="1" applyFont="1" applyFill="1" applyBorder="1" applyAlignment="1">
      <alignment/>
    </xf>
    <xf numFmtId="0" fontId="0" fillId="38" borderId="18" xfId="0" applyNumberFormat="1" applyFont="1" applyFill="1" applyBorder="1" applyAlignment="1">
      <alignment horizontal="right"/>
    </xf>
    <xf numFmtId="164" fontId="0" fillId="38" borderId="18" xfId="0" applyNumberFormat="1" applyFont="1" applyFill="1" applyBorder="1" applyAlignment="1">
      <alignment/>
    </xf>
    <xf numFmtId="0" fontId="0" fillId="38" borderId="18" xfId="0" applyNumberFormat="1" applyFont="1" applyFill="1" applyBorder="1" applyAlignment="1">
      <alignment horizontal="center"/>
    </xf>
    <xf numFmtId="164" fontId="0" fillId="38" borderId="18" xfId="0" applyNumberFormat="1" applyFont="1" applyFill="1" applyBorder="1" applyAlignment="1">
      <alignment horizontal="center"/>
    </xf>
    <xf numFmtId="0" fontId="0" fillId="38" borderId="18" xfId="0" applyNumberFormat="1" applyFont="1" applyFill="1" applyBorder="1" applyAlignment="1" applyProtection="1">
      <alignment/>
      <protection/>
    </xf>
    <xf numFmtId="0" fontId="0" fillId="38" borderId="18" xfId="0" applyNumberFormat="1" applyFont="1" applyFill="1" applyBorder="1" applyAlignment="1" applyProtection="1">
      <alignment/>
      <protection locked="0"/>
    </xf>
    <xf numFmtId="0" fontId="0" fillId="38" borderId="18" xfId="0" applyNumberFormat="1" applyFont="1" applyFill="1" applyBorder="1" applyAlignment="1" applyProtection="1">
      <alignment horizontal="left"/>
      <protection/>
    </xf>
    <xf numFmtId="0" fontId="0" fillId="39" borderId="18" xfId="0" applyNumberFormat="1" applyFont="1" applyFill="1" applyBorder="1" applyAlignment="1">
      <alignment horizontal="right"/>
    </xf>
    <xf numFmtId="164" fontId="0" fillId="39" borderId="18" xfId="0" applyNumberFormat="1" applyFont="1" applyFill="1" applyBorder="1" applyAlignment="1">
      <alignment/>
    </xf>
    <xf numFmtId="0" fontId="0" fillId="39" borderId="18" xfId="0" applyNumberFormat="1" applyFont="1" applyFill="1" applyBorder="1" applyAlignment="1">
      <alignment horizontal="center"/>
    </xf>
    <xf numFmtId="164" fontId="0" fillId="39" borderId="18" xfId="0" applyNumberFormat="1" applyFont="1" applyFill="1" applyBorder="1" applyAlignment="1">
      <alignment horizontal="center"/>
    </xf>
    <xf numFmtId="0" fontId="0" fillId="39" borderId="18" xfId="0" applyNumberFormat="1" applyFont="1" applyFill="1" applyBorder="1" applyAlignment="1" applyProtection="1">
      <alignment/>
      <protection/>
    </xf>
    <xf numFmtId="0" fontId="0" fillId="39" borderId="18" xfId="0" applyNumberFormat="1" applyFont="1" applyFill="1" applyBorder="1" applyAlignment="1" applyProtection="1">
      <alignment/>
      <protection locked="0"/>
    </xf>
    <xf numFmtId="0" fontId="0" fillId="39" borderId="18" xfId="0" applyNumberFormat="1" applyFont="1" applyFill="1" applyBorder="1" applyAlignment="1" applyProtection="1">
      <alignment horizontal="left"/>
      <protection/>
    </xf>
    <xf numFmtId="2" fontId="0" fillId="40" borderId="18" xfId="0" applyNumberFormat="1" applyFont="1" applyFill="1" applyBorder="1" applyAlignment="1">
      <alignment horizontal="right"/>
    </xf>
    <xf numFmtId="2" fontId="1" fillId="0" borderId="0" xfId="0" applyNumberFormat="1" applyFont="1" applyAlignment="1" applyProtection="1">
      <alignment/>
      <protection locked="0"/>
    </xf>
    <xf numFmtId="2" fontId="0" fillId="41" borderId="18" xfId="0" applyNumberFormat="1" applyFont="1" applyFill="1" applyBorder="1" applyAlignment="1">
      <alignment horizontal="right"/>
    </xf>
    <xf numFmtId="2" fontId="1" fillId="34" borderId="20" xfId="0" applyNumberFormat="1" applyFont="1" applyFill="1" applyBorder="1" applyAlignment="1">
      <alignment horizontal="right"/>
    </xf>
    <xf numFmtId="164" fontId="0" fillId="0" borderId="18" xfId="0" applyNumberFormat="1" applyFont="1" applyFill="1" applyBorder="1" applyAlignment="1">
      <alignment/>
    </xf>
    <xf numFmtId="171" fontId="0" fillId="0" borderId="0" xfId="0" applyNumberFormat="1" applyBorder="1" applyAlignment="1" applyProtection="1">
      <alignment/>
      <protection locked="0"/>
    </xf>
    <xf numFmtId="0" fontId="0" fillId="0" borderId="22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2" xfId="0" applyNumberFormat="1" applyBorder="1" applyAlignment="1">
      <alignment/>
    </xf>
    <xf numFmtId="0" fontId="0" fillId="0" borderId="2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27" xfId="0" applyBorder="1" applyAlignment="1">
      <alignment/>
    </xf>
    <xf numFmtId="0" fontId="0" fillId="0" borderId="27" xfId="0" applyNumberFormat="1" applyBorder="1" applyAlignment="1">
      <alignment/>
    </xf>
    <xf numFmtId="0" fontId="0" fillId="0" borderId="28" xfId="0" applyNumberFormat="1" applyBorder="1" applyAlignment="1">
      <alignment/>
    </xf>
    <xf numFmtId="0" fontId="0" fillId="0" borderId="29" xfId="0" applyBorder="1" applyAlignment="1">
      <alignment/>
    </xf>
    <xf numFmtId="0" fontId="0" fillId="0" borderId="30" xfId="0" applyNumberFormat="1" applyBorder="1" applyAlignment="1">
      <alignment/>
    </xf>
    <xf numFmtId="2" fontId="0" fillId="0" borderId="29" xfId="0" applyNumberFormat="1" applyBorder="1" applyAlignment="1">
      <alignment/>
    </xf>
    <xf numFmtId="2" fontId="0" fillId="0" borderId="30" xfId="0" applyNumberFormat="1" applyBorder="1" applyAlignment="1">
      <alignment/>
    </xf>
    <xf numFmtId="2" fontId="0" fillId="0" borderId="31" xfId="0" applyNumberFormat="1" applyBorder="1" applyAlignment="1">
      <alignment/>
    </xf>
    <xf numFmtId="0" fontId="0" fillId="0" borderId="32" xfId="0" applyBorder="1" applyAlignment="1">
      <alignment/>
    </xf>
    <xf numFmtId="0" fontId="0" fillId="0" borderId="32" xfId="0" applyNumberFormat="1" applyBorder="1" applyAlignment="1">
      <alignment/>
    </xf>
    <xf numFmtId="0" fontId="0" fillId="0" borderId="33" xfId="0" applyNumberFormat="1" applyBorder="1" applyAlignment="1">
      <alignment/>
    </xf>
    <xf numFmtId="0" fontId="0" fillId="0" borderId="34" xfId="0" applyNumberFormat="1" applyBorder="1" applyAlignment="1">
      <alignment/>
    </xf>
    <xf numFmtId="164" fontId="0" fillId="39" borderId="18" xfId="0" applyNumberFormat="1" applyFont="1" applyFill="1" applyBorder="1" applyAlignment="1">
      <alignment horizontal="right"/>
    </xf>
    <xf numFmtId="164" fontId="0" fillId="42" borderId="18" xfId="0" applyNumberFormat="1" applyFont="1" applyFill="1" applyBorder="1" applyAlignment="1">
      <alignment/>
    </xf>
    <xf numFmtId="2" fontId="0" fillId="43" borderId="18" xfId="0" applyNumberFormat="1" applyFont="1" applyFill="1" applyBorder="1" applyAlignment="1">
      <alignment horizontal="right"/>
    </xf>
    <xf numFmtId="0" fontId="0" fillId="42" borderId="18" xfId="0" applyNumberFormat="1" applyFont="1" applyFill="1" applyBorder="1" applyAlignment="1" applyProtection="1">
      <alignment/>
      <protection/>
    </xf>
    <xf numFmtId="0" fontId="0" fillId="42" borderId="18" xfId="0" applyNumberFormat="1" applyFont="1" applyFill="1" applyBorder="1" applyAlignment="1" applyProtection="1">
      <alignment/>
      <protection locked="0"/>
    </xf>
    <xf numFmtId="0" fontId="0" fillId="42" borderId="18" xfId="0" applyNumberFormat="1" applyFont="1" applyFill="1" applyBorder="1" applyAlignment="1" applyProtection="1">
      <alignment horizontal="left"/>
      <protection/>
    </xf>
    <xf numFmtId="164" fontId="0" fillId="44" borderId="18" xfId="0" applyNumberFormat="1" applyFont="1" applyFill="1" applyBorder="1" applyAlignment="1">
      <alignment/>
    </xf>
    <xf numFmtId="2" fontId="0" fillId="45" borderId="18" xfId="0" applyNumberFormat="1" applyFont="1" applyFill="1" applyBorder="1" applyAlignment="1">
      <alignment horizontal="right"/>
    </xf>
    <xf numFmtId="0" fontId="0" fillId="44" borderId="18" xfId="0" applyNumberFormat="1" applyFont="1" applyFill="1" applyBorder="1" applyAlignment="1" applyProtection="1">
      <alignment/>
      <protection/>
    </xf>
    <xf numFmtId="0" fontId="0" fillId="44" borderId="18" xfId="0" applyNumberFormat="1" applyFont="1" applyFill="1" applyBorder="1" applyAlignment="1" applyProtection="1">
      <alignment/>
      <protection locked="0"/>
    </xf>
    <xf numFmtId="0" fontId="0" fillId="44" borderId="18" xfId="0" applyNumberFormat="1" applyFont="1" applyFill="1" applyBorder="1" applyAlignment="1" applyProtection="1">
      <alignment horizontal="left"/>
      <protection/>
    </xf>
    <xf numFmtId="0" fontId="1" fillId="0" borderId="16" xfId="0" applyFont="1" applyBorder="1" applyAlignment="1" applyProtection="1">
      <alignment/>
      <protection locked="0"/>
    </xf>
    <xf numFmtId="0" fontId="0" fillId="0" borderId="22" xfId="0" applyFont="1" applyBorder="1" applyAlignment="1">
      <alignment horizontal="left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3" fillId="0" borderId="0" xfId="0" applyFont="1" applyFill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ataPilot Category" xfId="46"/>
    <cellStyle name="DataPilot Corner" xfId="47"/>
    <cellStyle name="DataPilot Field" xfId="48"/>
    <cellStyle name="DataPilot Result" xfId="49"/>
    <cellStyle name="DataPilot Title" xfId="50"/>
    <cellStyle name="DataPilot Value" xfId="51"/>
    <cellStyle name="Explanatory Text" xfId="52"/>
    <cellStyle name="Good" xfId="53"/>
    <cellStyle name="Heading 1" xfId="54"/>
    <cellStyle name="Heading 2" xfId="55"/>
    <cellStyle name="Heading 3" xfId="56"/>
    <cellStyle name="Heading 4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3">
    <dxf>
      <numFmt numFmtId="2" formatCode="0.00"/>
      <border/>
    </dxf>
    <dxf>
      <font>
        <b val="0"/>
        <i val="0"/>
        <u val="none"/>
        <strike val="0"/>
        <sz val="10"/>
        <name val="Arial"/>
        <color auto="1"/>
      </font>
      <alignment horizontal="left" vertical="bottom" textRotation="0" wrapText="1" indent="0" shrinkToFit="1" readingOrder="0"/>
      <border/>
    </dxf>
    <dxf>
      <font>
        <b val="0"/>
        <i val="0"/>
        <u val="none"/>
        <strike val="0"/>
        <sz val="10"/>
        <name val="Arial"/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6B6B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4BD5E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1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Run 2021-3 Downtime by System 
October 4 - December 21 
</a:t>
            </a:r>
            <a:r>
              <a:rPr lang="en-US" cap="none" sz="171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Scheduled User Time =  1601  hours     
User downtime =  32.37 hours</a:t>
            </a:r>
          </a:p>
        </c:rich>
      </c:tx>
      <c:layout>
        <c:manualLayout>
          <c:xMode val="factor"/>
          <c:yMode val="factor"/>
          <c:x val="-0.00075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09"/>
          <c:w val="0.8635"/>
          <c:h val="0.91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Stats!$A$15</c:f>
              <c:strCache>
                <c:ptCount val="1"/>
                <c:pt idx="0">
                  <c:v>Run 2021-3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Stats!$B$13:$R$13</c:f>
              <c:strCache>
                <c:ptCount val="17"/>
                <c:pt idx="0">
                  <c:v>RF</c:v>
                </c:pt>
                <c:pt idx="1">
                  <c:v>Diag</c:v>
                </c:pt>
                <c:pt idx="2">
                  <c:v>PS</c:v>
                </c:pt>
                <c:pt idx="3">
                  <c:v>Controls</c:v>
                </c:pt>
                <c:pt idx="4">
                  <c:v>Accelerator Intlks</c:v>
                </c:pt>
                <c:pt idx="5">
                  <c:v>Radiation Intlks</c:v>
                </c:pt>
                <c:pt idx="6">
                  <c:v>Water/ME</c:v>
                </c:pt>
                <c:pt idx="7">
                  <c:v>VAC</c:v>
                </c:pt>
                <c:pt idx="8">
                  <c:v>Operations</c:v>
                </c:pt>
                <c:pt idx="9">
                  <c:v>Physics</c:v>
                </c:pt>
                <c:pt idx="10">
                  <c:v>ID-FE</c:v>
                </c:pt>
                <c:pt idx="11">
                  <c:v>Electrical-APS</c:v>
                </c:pt>
                <c:pt idx="12">
                  <c:v>Electrical-ANL</c:v>
                </c:pt>
                <c:pt idx="13">
                  <c:v>Cooling-ANL</c:v>
                </c:pt>
                <c:pt idx="14">
                  <c:v>Other</c:v>
                </c:pt>
                <c:pt idx="15">
                  <c:v>Network</c:v>
                </c:pt>
                <c:pt idx="16">
                  <c:v>Unidentified</c:v>
                </c:pt>
              </c:strCache>
            </c:strRef>
          </c:cat>
          <c:val>
            <c:numRef>
              <c:f>Stats!$B$15:$R$15</c:f>
              <c:numCache>
                <c:ptCount val="17"/>
                <c:pt idx="0">
                  <c:v>0.007391213824571979</c:v>
                </c:pt>
                <c:pt idx="1">
                  <c:v>0</c:v>
                </c:pt>
                <c:pt idx="2">
                  <c:v>0.0013533208411894788</c:v>
                </c:pt>
                <c:pt idx="3">
                  <c:v>0</c:v>
                </c:pt>
                <c:pt idx="5">
                  <c:v>0</c:v>
                </c:pt>
                <c:pt idx="6">
                  <c:v>0.009993753903883197</c:v>
                </c:pt>
                <c:pt idx="7">
                  <c:v>0</c:v>
                </c:pt>
                <c:pt idx="8">
                  <c:v>0.0005829689777683304</c:v>
                </c:pt>
                <c:pt idx="9">
                  <c:v>0</c:v>
                </c:pt>
                <c:pt idx="11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Stats!$A$16</c:f>
              <c:strCache>
                <c:ptCount val="1"/>
                <c:pt idx="0">
                  <c:v>Budget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Stats!$B$13:$R$13</c:f>
              <c:strCache>
                <c:ptCount val="17"/>
                <c:pt idx="0">
                  <c:v>RF</c:v>
                </c:pt>
                <c:pt idx="1">
                  <c:v>Diag</c:v>
                </c:pt>
                <c:pt idx="2">
                  <c:v>PS</c:v>
                </c:pt>
                <c:pt idx="3">
                  <c:v>Controls</c:v>
                </c:pt>
                <c:pt idx="4">
                  <c:v>Accelerator Intlks</c:v>
                </c:pt>
                <c:pt idx="5">
                  <c:v>Radiation Intlks</c:v>
                </c:pt>
                <c:pt idx="6">
                  <c:v>Water/ME</c:v>
                </c:pt>
                <c:pt idx="7">
                  <c:v>VAC</c:v>
                </c:pt>
                <c:pt idx="8">
                  <c:v>Operations</c:v>
                </c:pt>
                <c:pt idx="9">
                  <c:v>Physics</c:v>
                </c:pt>
                <c:pt idx="10">
                  <c:v>ID-FE</c:v>
                </c:pt>
                <c:pt idx="11">
                  <c:v>Electrical-APS</c:v>
                </c:pt>
                <c:pt idx="12">
                  <c:v>Electrical-ANL</c:v>
                </c:pt>
                <c:pt idx="13">
                  <c:v>Cooling-ANL</c:v>
                </c:pt>
                <c:pt idx="14">
                  <c:v>Other</c:v>
                </c:pt>
                <c:pt idx="15">
                  <c:v>Network</c:v>
                </c:pt>
                <c:pt idx="16">
                  <c:v>Unidentified</c:v>
                </c:pt>
              </c:strCache>
            </c:strRef>
          </c:cat>
          <c:val>
            <c:numRef>
              <c:f>Stats!$B$16:$R$16</c:f>
              <c:numCache>
                <c:ptCount val="17"/>
                <c:pt idx="0">
                  <c:v>0.0054</c:v>
                </c:pt>
                <c:pt idx="1">
                  <c:v>0.0012000000000000001</c:v>
                </c:pt>
                <c:pt idx="2">
                  <c:v>0.0054</c:v>
                </c:pt>
                <c:pt idx="3">
                  <c:v>0.003</c:v>
                </c:pt>
                <c:pt idx="4">
                  <c:v>0.0028</c:v>
                </c:pt>
                <c:pt idx="5">
                  <c:v>0.0028</c:v>
                </c:pt>
                <c:pt idx="6">
                  <c:v>0.0036000000000000003</c:v>
                </c:pt>
                <c:pt idx="7">
                  <c:v>0.0036000000000000003</c:v>
                </c:pt>
                <c:pt idx="8">
                  <c:v>0.0012000000000000001</c:v>
                </c:pt>
                <c:pt idx="9">
                  <c:v>0</c:v>
                </c:pt>
                <c:pt idx="10">
                  <c:v>0.0006000000000000001</c:v>
                </c:pt>
                <c:pt idx="11">
                  <c:v>0.0006000000000000001</c:v>
                </c:pt>
                <c:pt idx="12">
                  <c:v>0.0006000000000000001</c:v>
                </c:pt>
                <c:pt idx="13">
                  <c:v>0.0006000000000000001</c:v>
                </c:pt>
                <c:pt idx="14">
                  <c:v>0.0018000000000000002</c:v>
                </c:pt>
                <c:pt idx="15">
                  <c:v>0.0012000000000000001</c:v>
                </c:pt>
                <c:pt idx="16">
                  <c:v>0.0006000000000000001</c:v>
                </c:pt>
              </c:numCache>
            </c:numRef>
          </c:val>
        </c:ser>
        <c:axId val="47089605"/>
        <c:axId val="21153262"/>
      </c:barChart>
      <c:catAx>
        <c:axId val="470896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139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153262"/>
        <c:crosses val="autoZero"/>
        <c:auto val="1"/>
        <c:lblOffset val="100"/>
        <c:tickLblSkip val="1"/>
        <c:noMultiLvlLbl val="0"/>
      </c:catAx>
      <c:valAx>
        <c:axId val="21153262"/>
        <c:scaling>
          <c:orientation val="minMax"/>
          <c:max val="0.0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8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 of Scheduled User Time</a:t>
                </a:r>
              </a:p>
            </c:rich>
          </c:tx>
          <c:layout>
            <c:manualLayout>
              <c:xMode val="factor"/>
              <c:yMode val="factor"/>
              <c:x val="-0.015"/>
              <c:y val="0.08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089605"/>
        <c:crossesAt val="1"/>
        <c:crossBetween val="between"/>
        <c:dispUnits/>
        <c:majorUnit val="0.0025"/>
        <c:minorUnit val="0.0005"/>
      </c:valAx>
      <c:spPr>
        <a:gradFill rotWithShape="1">
          <a:gsLst>
            <a:gs pos="0">
              <a:srgbClr val="00000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2"/>
          <c:y val="0.50875"/>
          <c:w val="0.20925"/>
          <c:h val="0.028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46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Run 2021-3 Faults Per Day By System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5"/>
          <c:y val="0.09825"/>
          <c:w val="0.941"/>
          <c:h val="0.8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Stats!$A$22</c:f>
              <c:strCache>
                <c:ptCount val="1"/>
                <c:pt idx="0">
                  <c:v>Run 2021-3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Stats!$B$21:$Q$21</c:f>
              <c:strCache>
                <c:ptCount val="16"/>
                <c:pt idx="0">
                  <c:v>RF</c:v>
                </c:pt>
                <c:pt idx="1">
                  <c:v>Diag</c:v>
                </c:pt>
                <c:pt idx="2">
                  <c:v>PS</c:v>
                </c:pt>
                <c:pt idx="3">
                  <c:v>Controls</c:v>
                </c:pt>
                <c:pt idx="4">
                  <c:v>Accelerator Intlks</c:v>
                </c:pt>
                <c:pt idx="5">
                  <c:v>Radiation Intlks</c:v>
                </c:pt>
                <c:pt idx="6">
                  <c:v>MOM</c:v>
                </c:pt>
                <c:pt idx="7">
                  <c:v>Operations</c:v>
                </c:pt>
                <c:pt idx="8">
                  <c:v>Physics</c:v>
                </c:pt>
                <c:pt idx="9">
                  <c:v>ID-FE</c:v>
                </c:pt>
                <c:pt idx="10">
                  <c:v>Electrical-APS</c:v>
                </c:pt>
                <c:pt idx="11">
                  <c:v>Electrical-ANL</c:v>
                </c:pt>
                <c:pt idx="12">
                  <c:v>Cooling-ANL</c:v>
                </c:pt>
                <c:pt idx="13">
                  <c:v>Other</c:v>
                </c:pt>
                <c:pt idx="14">
                  <c:v>Network</c:v>
                </c:pt>
                <c:pt idx="15">
                  <c:v>Unidentified</c:v>
                </c:pt>
              </c:strCache>
            </c:strRef>
          </c:cat>
          <c:val>
            <c:numRef>
              <c:f>Stats!$B$22:$Q$22</c:f>
              <c:numCache>
                <c:ptCount val="16"/>
                <c:pt idx="0">
                  <c:v>0.13769948362694423</c:v>
                </c:pt>
                <c:pt idx="1">
                  <c:v>0</c:v>
                </c:pt>
                <c:pt idx="2">
                  <c:v>0.03059988525043205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0.015299942625216025</c:v>
                </c:pt>
                <c:pt idx="7">
                  <c:v>0</c:v>
                </c:pt>
                <c:pt idx="8">
                  <c:v>0.015299942625216025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Stats!$A$23</c:f>
              <c:strCache>
                <c:ptCount val="1"/>
                <c:pt idx="0">
                  <c:v>Budget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Stats!$B$21:$Q$21</c:f>
              <c:strCache>
                <c:ptCount val="16"/>
                <c:pt idx="0">
                  <c:v>RF</c:v>
                </c:pt>
                <c:pt idx="1">
                  <c:v>Diag</c:v>
                </c:pt>
                <c:pt idx="2">
                  <c:v>PS</c:v>
                </c:pt>
                <c:pt idx="3">
                  <c:v>Controls</c:v>
                </c:pt>
                <c:pt idx="4">
                  <c:v>Accelerator Intlks</c:v>
                </c:pt>
                <c:pt idx="5">
                  <c:v>Radiation Intlks</c:v>
                </c:pt>
                <c:pt idx="6">
                  <c:v>MOM</c:v>
                </c:pt>
                <c:pt idx="7">
                  <c:v>Operations</c:v>
                </c:pt>
                <c:pt idx="8">
                  <c:v>Physics</c:v>
                </c:pt>
                <c:pt idx="9">
                  <c:v>ID-FE</c:v>
                </c:pt>
                <c:pt idx="10">
                  <c:v>Electrical-APS</c:v>
                </c:pt>
                <c:pt idx="11">
                  <c:v>Electrical-ANL</c:v>
                </c:pt>
                <c:pt idx="12">
                  <c:v>Cooling-ANL</c:v>
                </c:pt>
                <c:pt idx="13">
                  <c:v>Other</c:v>
                </c:pt>
                <c:pt idx="14">
                  <c:v>Network</c:v>
                </c:pt>
                <c:pt idx="15">
                  <c:v>Unidentified</c:v>
                </c:pt>
              </c:strCache>
            </c:strRef>
          </c:cat>
          <c:val>
            <c:numRef>
              <c:f>Stats!$B$23:$Q$23</c:f>
              <c:numCache>
                <c:ptCount val="16"/>
                <c:pt idx="0">
                  <c:v>0.12</c:v>
                </c:pt>
                <c:pt idx="1">
                  <c:v>0.03</c:v>
                </c:pt>
                <c:pt idx="2">
                  <c:v>0.12</c:v>
                </c:pt>
                <c:pt idx="3">
                  <c:v>0.05</c:v>
                </c:pt>
                <c:pt idx="4">
                  <c:v>0.035</c:v>
                </c:pt>
                <c:pt idx="5">
                  <c:v>0.02</c:v>
                </c:pt>
                <c:pt idx="6">
                  <c:v>0.06</c:v>
                </c:pt>
                <c:pt idx="7">
                  <c:v>0.02</c:v>
                </c:pt>
                <c:pt idx="8">
                  <c:v>0</c:v>
                </c:pt>
                <c:pt idx="9">
                  <c:v>0.01</c:v>
                </c:pt>
                <c:pt idx="10">
                  <c:v>0.01</c:v>
                </c:pt>
                <c:pt idx="11">
                  <c:v>0.01</c:v>
                </c:pt>
                <c:pt idx="12">
                  <c:v>0.01</c:v>
                </c:pt>
                <c:pt idx="13">
                  <c:v>0.02</c:v>
                </c:pt>
                <c:pt idx="14">
                  <c:v>0.01</c:v>
                </c:pt>
                <c:pt idx="15">
                  <c:v>0.02</c:v>
                </c:pt>
              </c:numCache>
            </c:numRef>
          </c:val>
        </c:ser>
        <c:axId val="56161631"/>
        <c:axId val="35692632"/>
      </c:barChart>
      <c:catAx>
        <c:axId val="561616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692632"/>
        <c:crossesAt val="0"/>
        <c:auto val="1"/>
        <c:lblOffset val="100"/>
        <c:tickLblSkip val="1"/>
        <c:noMultiLvlLbl val="0"/>
      </c:catAx>
      <c:valAx>
        <c:axId val="35692632"/>
        <c:scaling>
          <c:orientation val="minMax"/>
          <c:max val="0.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99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Faults/Day</a:t>
                </a:r>
              </a:p>
            </c:rich>
          </c:tx>
          <c:layout>
            <c:manualLayout>
              <c:xMode val="factor"/>
              <c:yMode val="factor"/>
              <c:x val="-0.019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99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161631"/>
        <c:crossesAt val="1"/>
        <c:crossBetween val="between"/>
        <c:dispUnits/>
      </c:valAx>
      <c:spPr>
        <a:gradFill rotWithShape="1">
          <a:gsLst>
            <a:gs pos="0">
              <a:srgbClr val="00000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1475"/>
          <c:y val="0.97675"/>
          <c:w val="0.11325"/>
          <c:h val="0.019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86</xdr:row>
      <xdr:rowOff>76200</xdr:rowOff>
    </xdr:from>
    <xdr:to>
      <xdr:col>11</xdr:col>
      <xdr:colOff>85725</xdr:colOff>
      <xdr:row>87</xdr:row>
      <xdr:rowOff>85725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8896350" y="156686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485775</xdr:colOff>
      <xdr:row>43</xdr:row>
      <xdr:rowOff>76200</xdr:rowOff>
    </xdr:from>
    <xdr:to>
      <xdr:col>11</xdr:col>
      <xdr:colOff>47625</xdr:colOff>
      <xdr:row>44</xdr:row>
      <xdr:rowOff>95250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8867775" y="8524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20</xdr:col>
      <xdr:colOff>123825</xdr:colOff>
      <xdr:row>71</xdr:row>
      <xdr:rowOff>161925</xdr:rowOff>
    </xdr:to>
    <xdr:graphicFrame>
      <xdr:nvGraphicFramePr>
        <xdr:cNvPr id="1" name="Chart 1"/>
        <xdr:cNvGraphicFramePr/>
      </xdr:nvGraphicFramePr>
      <xdr:xfrm>
        <a:off x="0" y="0"/>
        <a:ext cx="12506325" cy="1165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57150</xdr:rowOff>
    </xdr:from>
    <xdr:to>
      <xdr:col>28</xdr:col>
      <xdr:colOff>276225</xdr:colOff>
      <xdr:row>78</xdr:row>
      <xdr:rowOff>104775</xdr:rowOff>
    </xdr:to>
    <xdr:graphicFrame>
      <xdr:nvGraphicFramePr>
        <xdr:cNvPr id="1" name="Chart 1"/>
        <xdr:cNvGraphicFramePr/>
      </xdr:nvGraphicFramePr>
      <xdr:xfrm>
        <a:off x="0" y="542925"/>
        <a:ext cx="17345025" cy="1219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PICS\Public\2010\2010Fy\reliabilitySummar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unStatisticsbyWeek"/>
      <sheetName val="reliabilitySummary"/>
      <sheetName val="Stats"/>
      <sheetName val="Stats _2_"/>
      <sheetName val="Downtime chart"/>
      <sheetName val="Lost Stores FY chart"/>
      <sheetName val="summary"/>
    </sheetNames>
    <sheetDataSet>
      <sheetData sheetId="1">
        <row r="7">
          <cell r="B7">
            <v>0.0054</v>
          </cell>
          <cell r="F7">
            <v>0.12</v>
          </cell>
        </row>
        <row r="8">
          <cell r="B8">
            <v>0.0012000000000000001</v>
          </cell>
          <cell r="F8">
            <v>0.03</v>
          </cell>
        </row>
        <row r="9">
          <cell r="B9">
            <v>0.0054</v>
          </cell>
        </row>
        <row r="10">
          <cell r="B10">
            <v>0.003</v>
          </cell>
        </row>
        <row r="11">
          <cell r="B11">
            <v>0.0012000000000000001</v>
          </cell>
        </row>
        <row r="16">
          <cell r="B16">
            <v>0.0036000000000000003</v>
          </cell>
        </row>
        <row r="18">
          <cell r="B18">
            <v>0.0012000000000000001</v>
          </cell>
        </row>
        <row r="19">
          <cell r="B19">
            <v>0</v>
          </cell>
        </row>
        <row r="20">
          <cell r="B20">
            <v>0.0006000000000000001</v>
          </cell>
        </row>
        <row r="24">
          <cell r="B24">
            <v>0.0006000000000000001</v>
          </cell>
        </row>
        <row r="26">
          <cell r="B26">
            <v>0.0006000000000000001</v>
          </cell>
        </row>
        <row r="27">
          <cell r="B27">
            <v>0.0018000000000000002</v>
          </cell>
        </row>
        <row r="28">
          <cell r="B28">
            <v>0.0006000000000000001</v>
          </cell>
        </row>
      </sheetData>
    </sheetDataSet>
  </externalBook>
</externalLink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T41" sheet="Main Data"/>
  </cacheSource>
  <cacheFields count="20">
    <cacheField name="Fill #">
      <sharedItems containsMixedTypes="1" containsNumber="1" containsInteger="1"/>
    </cacheField>
    <cacheField name="Start">
      <sharedItems containsDate="1" containsMixedTypes="1"/>
    </cacheField>
    <cacheField name="End">
      <sharedItems containsDate="1" containsMixedTypes="1"/>
    </cacheField>
    <cacheField name="Length">
      <sharedItems containsMixedTypes="1" containsNumber="1"/>
    </cacheField>
    <cacheField name="Loss &#10;Reason">
      <sharedItems containsMixedTypes="0"/>
    </cacheField>
    <cacheField name="DIN #">
      <sharedItems containsMixedTypes="0"/>
    </cacheField>
    <cacheField name="Audit">
      <sharedItems containsMixedTypes="0"/>
    </cacheField>
    <cacheField name="Start2">
      <sharedItems containsDate="1" containsMixedTypes="1"/>
    </cacheField>
    <cacheField name="End2">
      <sharedItems containsDate="1" containsMixedTypes="1"/>
    </cacheField>
    <cacheField name="User &#10;Length">
      <sharedItems containsMixedTypes="1" containsNumber="1"/>
    </cacheField>
    <cacheField name="System&#10;Length">
      <sharedItems containsMixedTypes="1" containsNumber="1"/>
    </cacheField>
    <cacheField name="Cause">
      <sharedItems containsBlank="1" containsMixedTypes="0" count="21">
        <s v="RF"/>
        <m/>
        <s v="MCR"/>
        <s v="MOM"/>
        <s v="AOP"/>
        <s v="PS"/>
        <s v="MD"/>
        <s v="FMS"/>
        <s v="FMS-H2O"/>
        <s v="SI"/>
        <s v="VAC"/>
        <s v="OTH"/>
        <s v="CTL"/>
        <s v="ComEd"/>
        <s v="OPS"/>
        <s v="ESH"/>
        <s v="Rad"/>
        <s v="IT"/>
        <s v="DIA"/>
        <s v="UNK"/>
        <s v="Weather"/>
      </sharedItems>
    </cacheField>
    <cacheField name="System">
      <sharedItems containsMixedTypes="0"/>
    </cacheField>
    <cacheField name="Group">
      <sharedItems containsBlank="1" containsMixedTypes="0" count="16">
        <s v="RF"/>
        <m/>
        <s v="MCR"/>
        <s v="MOM"/>
        <s v="AOP"/>
        <s v="PS"/>
        <s v="MD"/>
        <s v="FMS"/>
        <s v="SI"/>
        <s v="VAC"/>
        <s v="OTH"/>
        <s v="CTL"/>
        <s v="ComEd"/>
        <s v="IT"/>
        <s v="DIA"/>
        <s v="UNK"/>
      </sharedItems>
    </cacheField>
    <cacheField name="Type">
      <sharedItems containsBlank="1" containsMixedTypes="0" count="4">
        <s v="Store Lost"/>
        <m/>
        <s v="Inhibits Beam To User"/>
        <s v="Scheduled"/>
      </sharedItems>
    </cacheField>
    <cacheField name="Description">
      <sharedItems containsMixedTypes="0"/>
    </cacheField>
    <cacheField name="Store Lost">
      <sharedItems containsMixedTypes="1" containsNumber="1" containsInteger="1"/>
    </cacheField>
    <cacheField name="Intention. Dump">
      <sharedItems containsMixedTypes="1" containsNumber="1" containsInteger="1"/>
    </cacheField>
    <cacheField name="Inhibits Beam">
      <sharedItems containsMixedTypes="1" containsNumber="1" containsInteger="1"/>
    </cacheField>
    <cacheField name="TOTAL">
      <sharedItems containsMixedTypes="1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7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H44" firstHeaderRow="1" firstDataRow="2" firstDataCol="2"/>
  <pivotFields count="20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 defaultSubtotal="0">
      <items count="21">
        <item h="1" x="1"/>
        <item m="1" x="8"/>
        <item x="5"/>
        <item x="0"/>
        <item m="1" x="15"/>
        <item m="1" x="9"/>
        <item m="1" x="18"/>
        <item m="1" x="12"/>
        <item x="3"/>
        <item m="1" x="7"/>
        <item m="1" x="19"/>
        <item m="1" x="14"/>
        <item m="1" x="13"/>
        <item m="1" x="20"/>
        <item m="1" x="11"/>
        <item m="1" x="16"/>
        <item x="4"/>
        <item m="1" x="6"/>
        <item m="1" x="17"/>
        <item m="1" x="10"/>
        <item x="2"/>
      </items>
    </pivotField>
    <pivotField compact="0" outline="0" subtotalTop="0" showAll="0"/>
    <pivotField compact="0" outline="0" subtotalTop="0" showAll="0"/>
    <pivotField axis="axisRow" compact="0" outline="0" subtotalTop="0" showAll="0" defaultSubtotal="0">
      <items count="4">
        <item x="3"/>
        <item x="1"/>
        <item x="0"/>
        <item x="2"/>
      </items>
    </pivotField>
    <pivotField compact="0" outline="0" subtotalTop="0" showAll="0"/>
    <pivotField dataField="1"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</pivotFields>
  <rowFields count="2">
    <field x="14"/>
    <field x="-2"/>
  </rowFields>
  <rowItems count="6">
    <i>
      <x v="2"/>
      <x/>
    </i>
    <i i="1" r="1">
      <x v="1"/>
    </i>
    <i>
      <x v="3"/>
      <x/>
    </i>
    <i i="1" r="1">
      <x v="1"/>
    </i>
    <i t="grand">
      <x/>
    </i>
    <i t="grand" i="1">
      <x/>
    </i>
  </rowItems>
  <colFields count="1">
    <field x="11"/>
  </colFields>
  <colItems count="6">
    <i>
      <x v="2"/>
    </i>
    <i>
      <x v="3"/>
    </i>
    <i>
      <x v="8"/>
    </i>
    <i>
      <x v="16"/>
    </i>
    <i>
      <x v="20"/>
    </i>
    <i t="grand">
      <x/>
    </i>
  </colItems>
  <dataFields count="2">
    <dataField name="Sum - Store Lost" fld="16" baseField="0" baseItem="0"/>
    <dataField name="Sum - Inhibits Beam" fld="18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4" cacheId="7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G7" firstHeaderRow="1" firstDataRow="2" firstDataCol="1"/>
  <pivotFields count="20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17">
        <item h="1" x="1"/>
        <item x="5"/>
        <item x="0"/>
        <item x="4"/>
        <item m="1" x="11"/>
        <item m="1" x="8"/>
        <item m="1" x="7"/>
        <item m="1" x="14"/>
        <item m="1" x="12"/>
        <item m="1" x="6"/>
        <item x="3"/>
        <item m="1" x="15"/>
        <item m="1" x="10"/>
        <item m="1" x="13"/>
        <item m="1" x="9"/>
        <item x="2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</pivotFields>
  <rowFields count="1">
    <field x="-2"/>
  </rowFields>
  <rowItems count="3">
    <i>
      <x/>
    </i>
    <i i="1">
      <x v="1"/>
    </i>
    <i i="2">
      <x v="2"/>
    </i>
  </rowItems>
  <colFields count="1">
    <field x="13"/>
  </colFields>
  <colItems count="6">
    <i>
      <x v="1"/>
    </i>
    <i>
      <x v="2"/>
    </i>
    <i>
      <x v="3"/>
    </i>
    <i>
      <x v="10"/>
    </i>
    <i>
      <x v="15"/>
    </i>
    <i t="grand">
      <x/>
    </i>
  </colItems>
  <dataFields count="3">
    <dataField name="Sum - Inhibits Beam" fld="18" baseField="0" baseItem="0"/>
    <dataField name="Sum - Store Lost" fld="16" baseField="0" baseItem="0"/>
    <dataField name="Sum of System Length" fld="10" baseField="0" baseItem="0"/>
  </dataFields>
  <formats count="5">
    <format dxfId="0">
      <pivotArea outline="0" fieldPosition="0">
        <references count="2">
          <reference field="4294967294" count="1">
            <x v="2"/>
          </reference>
          <reference field="13" count="1">
            <x v="1"/>
          </reference>
        </references>
      </pivotArea>
    </format>
    <format dxfId="0">
      <pivotArea outline="0" fieldPosition="0">
        <references count="2">
          <reference field="4294967294" count="1">
            <x v="2"/>
          </reference>
          <reference field="13" count="1">
            <x v="2"/>
          </reference>
        </references>
      </pivotArea>
    </format>
    <format dxfId="0">
      <pivotArea outline="0" fieldPosition="0" axis="axisCol" field="13" grandCol="1">
        <references count="1">
          <reference field="4294967294" count="1">
            <x v="2"/>
          </reference>
        </references>
      </pivotArea>
    </format>
    <format dxfId="1">
      <pivotArea outline="0" fieldPosition="0" dataOnly="0" labelOnly="1" type="origin"/>
    </format>
    <format dxfId="2">
      <pivotArea outline="0" fieldPosition="0" dataOnly="0" labelOnly="1" type="origin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34"/>
  <sheetViews>
    <sheetView zoomScaleSheetLayoutView="80" workbookViewId="0" topLeftCell="A39">
      <selection activeCell="D53" sqref="D53"/>
    </sheetView>
  </sheetViews>
  <sheetFormatPr defaultColWidth="9.00390625" defaultRowHeight="12.75"/>
  <cols>
    <col min="1" max="1" width="6.7109375" style="1" customWidth="1"/>
    <col min="2" max="2" width="15.7109375" style="2" customWidth="1"/>
    <col min="3" max="3" width="16.57421875" style="2" customWidth="1"/>
    <col min="4" max="4" width="9.28125" style="3" customWidth="1"/>
    <col min="5" max="5" width="27.140625" style="4" customWidth="1"/>
    <col min="6" max="6" width="9.28125" style="5" customWidth="1"/>
    <col min="7" max="7" width="3.28125" style="6" customWidth="1"/>
    <col min="8" max="8" width="14.28125" style="7" customWidth="1"/>
    <col min="9" max="9" width="15.8515625" style="7" customWidth="1"/>
    <col min="10" max="10" width="7.57421875" style="3" customWidth="1"/>
    <col min="11" max="11" width="7.7109375" style="8" customWidth="1"/>
    <col min="12" max="12" width="11.28125" style="9" customWidth="1"/>
    <col min="13" max="13" width="13.140625" style="10" customWidth="1"/>
    <col min="14" max="14" width="11.28125" style="10" customWidth="1"/>
    <col min="15" max="15" width="21.57421875" style="9" customWidth="1"/>
    <col min="16" max="16" width="68.140625" style="11" customWidth="1"/>
    <col min="17" max="19" width="5.7109375" style="12" customWidth="1"/>
    <col min="20" max="16384" width="9.00390625" style="12" customWidth="1"/>
  </cols>
  <sheetData>
    <row r="1" spans="1:24" ht="12.75">
      <c r="A1" s="13" t="s">
        <v>0</v>
      </c>
      <c r="B1" s="14"/>
      <c r="C1" s="14"/>
      <c r="D1" s="15">
        <v>0.25</v>
      </c>
      <c r="E1" s="16" t="s">
        <v>1</v>
      </c>
      <c r="F1" s="17"/>
      <c r="G1" s="18"/>
      <c r="H1" s="19"/>
      <c r="I1" s="19"/>
      <c r="J1" s="15"/>
      <c r="K1" s="20"/>
      <c r="L1" s="21"/>
      <c r="M1" s="22"/>
      <c r="N1" s="22"/>
      <c r="O1" s="21"/>
      <c r="P1" s="23"/>
      <c r="W1" s="24" t="s">
        <v>2</v>
      </c>
      <c r="X1" s="12">
        <f>D1/24</f>
        <v>0.010416666666666666</v>
      </c>
    </row>
    <row r="2" spans="1:16" ht="26.25">
      <c r="A2" s="175" t="s">
        <v>73</v>
      </c>
      <c r="B2" s="175"/>
      <c r="C2" s="175"/>
      <c r="D2" s="175"/>
      <c r="E2" s="175"/>
      <c r="F2" s="175"/>
      <c r="G2" s="175"/>
      <c r="H2" s="175"/>
      <c r="I2" s="175"/>
      <c r="J2" s="25"/>
      <c r="K2" s="25"/>
      <c r="L2" s="26"/>
      <c r="M2" s="27"/>
      <c r="N2" s="27"/>
      <c r="O2" s="26"/>
      <c r="P2" s="23"/>
    </row>
    <row r="3" spans="1:20" s="30" customFormat="1" ht="20.25" customHeight="1">
      <c r="A3" s="28"/>
      <c r="B3" s="14"/>
      <c r="C3" s="14"/>
      <c r="D3" s="15"/>
      <c r="E3" s="16"/>
      <c r="F3" s="29"/>
      <c r="G3" s="18"/>
      <c r="H3" s="19"/>
      <c r="I3" s="19"/>
      <c r="J3" s="15"/>
      <c r="K3" s="20"/>
      <c r="L3" s="21"/>
      <c r="M3" s="22"/>
      <c r="N3" s="22"/>
      <c r="O3" s="21"/>
      <c r="P3" s="23"/>
      <c r="Q3" s="12"/>
      <c r="R3" s="12"/>
      <c r="S3" s="12"/>
      <c r="T3" s="12"/>
    </row>
    <row r="4" spans="1:20" s="30" customFormat="1" ht="66.75" customHeight="1">
      <c r="A4" s="96" t="s">
        <v>3</v>
      </c>
      <c r="B4" s="97" t="s">
        <v>4</v>
      </c>
      <c r="C4" s="97" t="s">
        <v>5</v>
      </c>
      <c r="D4" s="98" t="s">
        <v>6</v>
      </c>
      <c r="E4" s="99" t="s">
        <v>7</v>
      </c>
      <c r="F4" s="96" t="s">
        <v>8</v>
      </c>
      <c r="G4" s="100" t="s">
        <v>9</v>
      </c>
      <c r="H4" s="97" t="s">
        <v>4</v>
      </c>
      <c r="I4" s="97" t="s">
        <v>5</v>
      </c>
      <c r="J4" s="101" t="s">
        <v>10</v>
      </c>
      <c r="K4" s="102" t="s">
        <v>11</v>
      </c>
      <c r="L4" s="103" t="s">
        <v>12</v>
      </c>
      <c r="M4" s="104" t="s">
        <v>13</v>
      </c>
      <c r="N4" s="104" t="s">
        <v>14</v>
      </c>
      <c r="O4" s="103" t="s">
        <v>15</v>
      </c>
      <c r="P4" s="31" t="s">
        <v>16</v>
      </c>
      <c r="Q4" s="32" t="s">
        <v>17</v>
      </c>
      <c r="R4" s="32" t="s">
        <v>18</v>
      </c>
      <c r="S4" s="32" t="s">
        <v>19</v>
      </c>
      <c r="T4" s="33" t="s">
        <v>20</v>
      </c>
    </row>
    <row r="5" spans="1:23" s="116" customFormat="1" ht="15.75" customHeight="1">
      <c r="A5" s="119">
        <v>1</v>
      </c>
      <c r="B5" s="120">
        <v>44473.333333333336</v>
      </c>
      <c r="C5" s="120">
        <v>44478.52777777778</v>
      </c>
      <c r="D5" s="133">
        <f>(C5-B5)*24</f>
        <v>124.66666666668607</v>
      </c>
      <c r="E5" s="120" t="s">
        <v>71</v>
      </c>
      <c r="F5" s="121"/>
      <c r="G5" s="122"/>
      <c r="H5" s="120">
        <v>44478.52777777778</v>
      </c>
      <c r="I5" s="137">
        <v>44478.57430555556</v>
      </c>
      <c r="J5" s="133">
        <f>(I5-H5)*24</f>
        <v>1.116666666639503</v>
      </c>
      <c r="K5" s="133">
        <f>(I5-H5)*24</f>
        <v>1.116666666639503</v>
      </c>
      <c r="L5" s="123" t="s">
        <v>23</v>
      </c>
      <c r="M5" s="124" t="s">
        <v>23</v>
      </c>
      <c r="N5" s="124" t="s">
        <v>23</v>
      </c>
      <c r="O5" s="125" t="s">
        <v>17</v>
      </c>
      <c r="P5" s="120"/>
      <c r="Q5" s="35">
        <f>IF($O5="Store Lost",1,"")</f>
        <v>1</v>
      </c>
      <c r="R5" s="35">
        <f>IF($O5="Scheduled",1,"")</f>
      </c>
      <c r="S5" s="35">
        <f>IF($O5="Inhibits beam to user",1,"")</f>
      </c>
      <c r="T5" s="36">
        <f>SUM(Q5:S5)</f>
        <v>1</v>
      </c>
      <c r="U5" s="115"/>
      <c r="V5" s="115"/>
      <c r="W5" s="115"/>
    </row>
    <row r="6" spans="1:23" s="118" customFormat="1" ht="12.75">
      <c r="A6" s="126">
        <v>2</v>
      </c>
      <c r="B6" s="127">
        <v>44478.57430555556</v>
      </c>
      <c r="C6" s="127">
        <v>44478.88958333333</v>
      </c>
      <c r="D6" s="94">
        <f>(C6-B6)*24</f>
        <v>7.566666666534729</v>
      </c>
      <c r="E6" s="127" t="s">
        <v>71</v>
      </c>
      <c r="F6" s="128"/>
      <c r="G6" s="129"/>
      <c r="H6" s="127">
        <v>44478.88958333333</v>
      </c>
      <c r="I6" s="127">
        <v>44478.986805555556</v>
      </c>
      <c r="J6" s="94">
        <f>(I6-H6)*24</f>
        <v>2.333333333430346</v>
      </c>
      <c r="K6" s="135"/>
      <c r="L6" s="130"/>
      <c r="M6" s="131"/>
      <c r="N6" s="131"/>
      <c r="O6" s="132"/>
      <c r="P6" s="127"/>
      <c r="Q6" s="35">
        <f>IF($O6="Store Lost",1,"")</f>
      </c>
      <c r="R6" s="35">
        <f>IF($O6="Scheduled",1,"")</f>
      </c>
      <c r="S6" s="35">
        <f>IF($O6="Inhibits beam to user",1,"")</f>
      </c>
      <c r="T6" s="36">
        <f>SUM(Q6:S6)</f>
        <v>0</v>
      </c>
      <c r="U6" s="117"/>
      <c r="V6" s="117"/>
      <c r="W6" s="117"/>
    </row>
    <row r="7" spans="1:23" s="118" customFormat="1" ht="12.75">
      <c r="A7" s="119"/>
      <c r="B7" s="120"/>
      <c r="C7" s="120"/>
      <c r="D7" s="133"/>
      <c r="E7" s="120"/>
      <c r="F7" s="121"/>
      <c r="G7" s="122"/>
      <c r="H7" s="161">
        <v>44478.88958333333</v>
      </c>
      <c r="I7" s="161">
        <v>44478.947916666664</v>
      </c>
      <c r="J7" s="162"/>
      <c r="K7" s="162">
        <f>(I7-H7)*24</f>
        <v>1.400000000023283</v>
      </c>
      <c r="L7" s="163" t="s">
        <v>23</v>
      </c>
      <c r="M7" s="164" t="s">
        <v>23</v>
      </c>
      <c r="N7" s="164" t="s">
        <v>23</v>
      </c>
      <c r="O7" s="165" t="s">
        <v>17</v>
      </c>
      <c r="P7" s="161"/>
      <c r="Q7" s="35">
        <f>IF($O7="Store Lost",1,"")</f>
        <v>1</v>
      </c>
      <c r="R7" s="35">
        <f>IF($O7="Scheduled",1,"")</f>
      </c>
      <c r="S7" s="35">
        <f>IF($O7="Inhibits beam to user",1,"")</f>
      </c>
      <c r="T7" s="36">
        <f>SUM(Q7:S7)</f>
        <v>1</v>
      </c>
      <c r="U7" s="117"/>
      <c r="V7" s="117"/>
      <c r="W7" s="117"/>
    </row>
    <row r="8" spans="1:23" s="118" customFormat="1" ht="12.75">
      <c r="A8" s="119"/>
      <c r="B8" s="120"/>
      <c r="C8" s="120"/>
      <c r="D8" s="133"/>
      <c r="E8" s="120"/>
      <c r="F8" s="121"/>
      <c r="G8" s="122"/>
      <c r="H8" s="166">
        <v>44478.947916666664</v>
      </c>
      <c r="I8" s="166">
        <v>44478.986805555556</v>
      </c>
      <c r="J8" s="167"/>
      <c r="K8" s="167">
        <f>(I8-H8)*24</f>
        <v>0.933333333407063</v>
      </c>
      <c r="L8" s="168" t="s">
        <v>74</v>
      </c>
      <c r="M8" s="169" t="s">
        <v>74</v>
      </c>
      <c r="N8" s="169" t="s">
        <v>74</v>
      </c>
      <c r="O8" s="170" t="s">
        <v>72</v>
      </c>
      <c r="P8" s="166"/>
      <c r="Q8" s="35">
        <f>IF($O8="Store Lost",1,"")</f>
      </c>
      <c r="R8" s="35">
        <f>IF($O8="Scheduled",1,"")</f>
      </c>
      <c r="S8" s="35">
        <f>IF($O8="Inhibits beam to user",1,"")</f>
        <v>1</v>
      </c>
      <c r="T8" s="36">
        <f>SUM(Q8:S8)</f>
        <v>1</v>
      </c>
      <c r="U8" s="117"/>
      <c r="V8" s="117"/>
      <c r="W8" s="117"/>
    </row>
    <row r="9" spans="1:23" s="118" customFormat="1" ht="12.75">
      <c r="A9" s="126">
        <v>4</v>
      </c>
      <c r="B9" s="127">
        <v>44478.986805555556</v>
      </c>
      <c r="C9" s="127">
        <v>44480.333333333336</v>
      </c>
      <c r="D9" s="94">
        <f>(C9-B9)*24</f>
        <v>32.31666666670935</v>
      </c>
      <c r="E9" s="127" t="s">
        <v>66</v>
      </c>
      <c r="F9" s="128"/>
      <c r="G9" s="129"/>
      <c r="H9" s="127"/>
      <c r="I9" s="127"/>
      <c r="J9" s="94">
        <f>(I9-H9)*24</f>
        <v>0</v>
      </c>
      <c r="K9" s="135">
        <f>(I9-H9)*24</f>
        <v>0</v>
      </c>
      <c r="L9" s="130"/>
      <c r="M9" s="131"/>
      <c r="N9" s="131"/>
      <c r="O9" s="132" t="s">
        <v>21</v>
      </c>
      <c r="P9" s="127"/>
      <c r="Q9" s="35">
        <f aca="true" t="shared" si="0" ref="Q9:Q18">IF($O9="Store Lost",1,"")</f>
      </c>
      <c r="R9" s="35">
        <f aca="true" t="shared" si="1" ref="R9:R18">IF($O9="Scheduled",1,"")</f>
        <v>1</v>
      </c>
      <c r="S9" s="35">
        <f aca="true" t="shared" si="2" ref="S9:S18">IF($O9="Inhibits beam to user",1,"")</f>
      </c>
      <c r="T9" s="36">
        <f aca="true" t="shared" si="3" ref="T9:T16">SUM(Q9:S9)</f>
        <v>1</v>
      </c>
      <c r="U9" s="117"/>
      <c r="V9" s="117"/>
      <c r="W9" s="117"/>
    </row>
    <row r="10" spans="1:23" s="34" customFormat="1" ht="12.75">
      <c r="A10" s="105"/>
      <c r="B10" s="106"/>
      <c r="C10" s="106"/>
      <c r="D10" s="107">
        <f>SUM(D5:D9)</f>
        <v>164.54999999993015</v>
      </c>
      <c r="E10" s="108"/>
      <c r="F10" s="109"/>
      <c r="G10" s="110"/>
      <c r="H10" s="111"/>
      <c r="I10" s="111"/>
      <c r="J10" s="136">
        <f>SUM(J5:J9)</f>
        <v>3.450000000069849</v>
      </c>
      <c r="K10" s="136">
        <f>SUM(K5:K9)</f>
        <v>3.450000000069849</v>
      </c>
      <c r="L10" s="112"/>
      <c r="M10" s="113"/>
      <c r="N10" s="113"/>
      <c r="O10" s="114"/>
      <c r="P10" s="108"/>
      <c r="Q10" s="35">
        <f t="shared" si="0"/>
      </c>
      <c r="R10" s="35">
        <f t="shared" si="1"/>
      </c>
      <c r="S10" s="35">
        <f t="shared" si="2"/>
      </c>
      <c r="T10" s="36">
        <f t="shared" si="3"/>
        <v>0</v>
      </c>
      <c r="U10" s="30"/>
      <c r="V10" s="30"/>
      <c r="W10" s="30"/>
    </row>
    <row r="11" spans="1:23" s="116" customFormat="1" ht="15.75" customHeight="1">
      <c r="A11" s="119">
        <v>5</v>
      </c>
      <c r="B11" s="120">
        <v>44481.333333333336</v>
      </c>
      <c r="C11" s="120">
        <v>44482.09305555555</v>
      </c>
      <c r="D11" s="133">
        <f>(C11-B11)*24</f>
        <v>18.2333333332208</v>
      </c>
      <c r="E11" s="120" t="s">
        <v>75</v>
      </c>
      <c r="F11" s="121"/>
      <c r="G11" s="122"/>
      <c r="H11" s="120">
        <v>44482.09305555555</v>
      </c>
      <c r="I11" s="137">
        <v>44482.759722222225</v>
      </c>
      <c r="J11" s="133">
        <f>(I11-H11)*24</f>
        <v>16.000000000116415</v>
      </c>
      <c r="K11" s="133">
        <f>(I11-H11)*24</f>
        <v>16.000000000116415</v>
      </c>
      <c r="L11" s="123" t="s">
        <v>24</v>
      </c>
      <c r="M11" s="124" t="s">
        <v>24</v>
      </c>
      <c r="N11" s="124" t="s">
        <v>24</v>
      </c>
      <c r="O11" s="125" t="s">
        <v>17</v>
      </c>
      <c r="P11" s="120"/>
      <c r="Q11" s="35">
        <f t="shared" si="0"/>
        <v>1</v>
      </c>
      <c r="R11" s="35">
        <f t="shared" si="1"/>
      </c>
      <c r="S11" s="35">
        <f t="shared" si="2"/>
      </c>
      <c r="T11" s="36">
        <f>SUM(Q11:S11)</f>
        <v>1</v>
      </c>
      <c r="U11" s="115"/>
      <c r="V11" s="115"/>
      <c r="W11" s="115"/>
    </row>
    <row r="12" spans="1:23" s="118" customFormat="1" ht="12.75">
      <c r="A12" s="126">
        <v>6</v>
      </c>
      <c r="B12" s="127">
        <v>44482.759722222225</v>
      </c>
      <c r="C12" s="127">
        <v>44484.04722222222</v>
      </c>
      <c r="D12" s="94">
        <f>(C12-B12)*24</f>
        <v>30.899999999965075</v>
      </c>
      <c r="E12" s="127" t="s">
        <v>76</v>
      </c>
      <c r="F12" s="128"/>
      <c r="G12" s="129"/>
      <c r="H12" s="127">
        <v>44484.04722222222</v>
      </c>
      <c r="I12" s="127">
        <v>44484.09652777778</v>
      </c>
      <c r="J12" s="94">
        <f>(I12-H12)*24</f>
        <v>1.1833333333488554</v>
      </c>
      <c r="K12" s="135">
        <f>(I12-H12)*24</f>
        <v>1.1833333333488554</v>
      </c>
      <c r="L12" s="130" t="s">
        <v>23</v>
      </c>
      <c r="M12" s="131" t="s">
        <v>23</v>
      </c>
      <c r="N12" s="131" t="s">
        <v>23</v>
      </c>
      <c r="O12" s="132" t="s">
        <v>17</v>
      </c>
      <c r="P12" s="127"/>
      <c r="Q12" s="35">
        <f t="shared" si="0"/>
        <v>1</v>
      </c>
      <c r="R12" s="35">
        <f t="shared" si="1"/>
      </c>
      <c r="S12" s="35">
        <f t="shared" si="2"/>
      </c>
      <c r="T12" s="36">
        <f>SUM(Q12:S12)</f>
        <v>1</v>
      </c>
      <c r="U12" s="117"/>
      <c r="V12" s="117"/>
      <c r="W12" s="117"/>
    </row>
    <row r="13" spans="1:23" s="116" customFormat="1" ht="15.75" customHeight="1">
      <c r="A13" s="119">
        <v>7</v>
      </c>
      <c r="B13" s="120">
        <v>44484.09652777778</v>
      </c>
      <c r="C13" s="120">
        <v>44484.72986111111</v>
      </c>
      <c r="D13" s="133">
        <f>(C13-B13)*24</f>
        <v>15.199999999953434</v>
      </c>
      <c r="E13" s="120" t="s">
        <v>76</v>
      </c>
      <c r="F13" s="121"/>
      <c r="G13" s="122"/>
      <c r="H13" s="120">
        <v>44484.72986111111</v>
      </c>
      <c r="I13" s="137">
        <v>44484.768055555556</v>
      </c>
      <c r="J13" s="133">
        <f>(I13-H13)*24</f>
        <v>0.9166666666860692</v>
      </c>
      <c r="K13" s="133">
        <f>(I13-H13)*24</f>
        <v>0.9166666666860692</v>
      </c>
      <c r="L13" s="123" t="s">
        <v>23</v>
      </c>
      <c r="M13" s="124" t="s">
        <v>23</v>
      </c>
      <c r="N13" s="124" t="s">
        <v>23</v>
      </c>
      <c r="O13" s="125" t="s">
        <v>17</v>
      </c>
      <c r="P13" s="120"/>
      <c r="Q13" s="35">
        <f t="shared" si="0"/>
        <v>1</v>
      </c>
      <c r="R13" s="35">
        <f t="shared" si="1"/>
      </c>
      <c r="S13" s="35">
        <f t="shared" si="2"/>
      </c>
      <c r="T13" s="36">
        <f t="shared" si="3"/>
        <v>1</v>
      </c>
      <c r="U13" s="115"/>
      <c r="V13" s="115"/>
      <c r="W13" s="115"/>
    </row>
    <row r="14" spans="1:23" s="118" customFormat="1" ht="12.75">
      <c r="A14" s="126">
        <v>8</v>
      </c>
      <c r="B14" s="127">
        <v>44484.768055555556</v>
      </c>
      <c r="C14" s="127">
        <v>44485.254166666666</v>
      </c>
      <c r="D14" s="94">
        <f>(C14-B14)*24</f>
        <v>11.666666666627862</v>
      </c>
      <c r="E14" s="127" t="s">
        <v>76</v>
      </c>
      <c r="F14" s="128"/>
      <c r="G14" s="129"/>
      <c r="H14" s="127">
        <v>44485.254166666666</v>
      </c>
      <c r="I14" s="127">
        <v>44485.42361111111</v>
      </c>
      <c r="J14" s="94">
        <f>(I14-H14)*24</f>
        <v>4.066666666651145</v>
      </c>
      <c r="K14" s="135">
        <f>(I14-H14)*24</f>
        <v>4.066666666651145</v>
      </c>
      <c r="L14" s="130" t="s">
        <v>23</v>
      </c>
      <c r="M14" s="131" t="s">
        <v>23</v>
      </c>
      <c r="N14" s="131" t="s">
        <v>23</v>
      </c>
      <c r="O14" s="132" t="s">
        <v>17</v>
      </c>
      <c r="P14" s="127"/>
      <c r="Q14" s="35">
        <f t="shared" si="0"/>
        <v>1</v>
      </c>
      <c r="R14" s="35">
        <f t="shared" si="1"/>
      </c>
      <c r="S14" s="35">
        <f t="shared" si="2"/>
      </c>
      <c r="T14" s="36">
        <f t="shared" si="3"/>
        <v>1</v>
      </c>
      <c r="U14" s="117"/>
      <c r="V14" s="117"/>
      <c r="W14" s="117"/>
    </row>
    <row r="15" spans="1:23" s="116" customFormat="1" ht="15.75" customHeight="1">
      <c r="A15" s="119">
        <v>11</v>
      </c>
      <c r="B15" s="120">
        <v>44485.42361111111</v>
      </c>
      <c r="C15" s="120">
        <v>44487.333333333336</v>
      </c>
      <c r="D15" s="133">
        <f>(C15-B15)*24</f>
        <v>45.833333333430346</v>
      </c>
      <c r="E15" s="120" t="s">
        <v>66</v>
      </c>
      <c r="F15" s="121"/>
      <c r="G15" s="122"/>
      <c r="H15" s="120"/>
      <c r="I15" s="137"/>
      <c r="J15" s="133">
        <f>(I15-H15)*24</f>
        <v>0</v>
      </c>
      <c r="K15" s="133">
        <f>(I15-H15)*24</f>
        <v>0</v>
      </c>
      <c r="L15" s="123"/>
      <c r="M15" s="124"/>
      <c r="N15" s="124"/>
      <c r="O15" s="125" t="s">
        <v>21</v>
      </c>
      <c r="P15" s="120"/>
      <c r="Q15" s="35">
        <f t="shared" si="0"/>
      </c>
      <c r="R15" s="35">
        <f t="shared" si="1"/>
        <v>1</v>
      </c>
      <c r="S15" s="35">
        <f t="shared" si="2"/>
      </c>
      <c r="T15" s="36">
        <f t="shared" si="3"/>
        <v>1</v>
      </c>
      <c r="U15" s="115"/>
      <c r="V15" s="115"/>
      <c r="W15" s="115"/>
    </row>
    <row r="16" spans="1:23" s="34" customFormat="1" ht="12.75">
      <c r="A16" s="105"/>
      <c r="B16" s="106"/>
      <c r="C16" s="106"/>
      <c r="D16" s="107">
        <f>SUM(D11:D15)</f>
        <v>121.83333333319752</v>
      </c>
      <c r="E16" s="108"/>
      <c r="F16" s="109"/>
      <c r="G16" s="110"/>
      <c r="H16" s="111"/>
      <c r="I16" s="111"/>
      <c r="J16" s="136">
        <f>SUM(J11:J15)</f>
        <v>22.166666666802485</v>
      </c>
      <c r="K16" s="136">
        <f>SUM(K11:K15)</f>
        <v>22.166666666802485</v>
      </c>
      <c r="L16" s="112"/>
      <c r="M16" s="113"/>
      <c r="N16" s="113"/>
      <c r="O16" s="114"/>
      <c r="P16" s="108"/>
      <c r="Q16" s="35">
        <f t="shared" si="0"/>
      </c>
      <c r="R16" s="35">
        <f t="shared" si="1"/>
      </c>
      <c r="S16" s="35">
        <f t="shared" si="2"/>
      </c>
      <c r="T16" s="36">
        <f t="shared" si="3"/>
        <v>0</v>
      </c>
      <c r="U16" s="30"/>
      <c r="V16" s="30"/>
      <c r="W16" s="30"/>
    </row>
    <row r="17" spans="1:23" s="116" customFormat="1" ht="15.75" customHeight="1">
      <c r="A17" s="119"/>
      <c r="B17" s="120"/>
      <c r="C17" s="120"/>
      <c r="D17" s="133">
        <f>(C17-B17)*24</f>
        <v>0</v>
      </c>
      <c r="E17" s="120"/>
      <c r="F17" s="121"/>
      <c r="G17" s="122"/>
      <c r="H17" s="120">
        <v>44488.333333333336</v>
      </c>
      <c r="I17" s="137">
        <v>44488.35277777778</v>
      </c>
      <c r="J17" s="133">
        <f>(I17-H17)*24</f>
        <v>0.46666666661622</v>
      </c>
      <c r="K17" s="133">
        <f>(I17-H17)*24</f>
        <v>0.46666666661622</v>
      </c>
      <c r="L17" s="123" t="s">
        <v>67</v>
      </c>
      <c r="M17" s="124" t="s">
        <v>67</v>
      </c>
      <c r="N17" s="124" t="s">
        <v>67</v>
      </c>
      <c r="O17" s="125" t="s">
        <v>69</v>
      </c>
      <c r="P17" s="120" t="s">
        <v>77</v>
      </c>
      <c r="Q17" s="35">
        <f t="shared" si="0"/>
      </c>
      <c r="R17" s="35">
        <f t="shared" si="1"/>
      </c>
      <c r="S17" s="35">
        <f t="shared" si="2"/>
        <v>1</v>
      </c>
      <c r="T17" s="36">
        <f>SUM(Q17:S17)</f>
        <v>1</v>
      </c>
      <c r="U17" s="115"/>
      <c r="V17" s="115"/>
      <c r="W17" s="115"/>
    </row>
    <row r="18" spans="1:23" s="118" customFormat="1" ht="12.75">
      <c r="A18" s="126">
        <v>12</v>
      </c>
      <c r="B18" s="127">
        <v>44488.35277777778</v>
      </c>
      <c r="C18" s="127">
        <v>44490.70763888889</v>
      </c>
      <c r="D18" s="94">
        <f>(C18-B18)*24</f>
        <v>56.516666666662786</v>
      </c>
      <c r="E18" s="127" t="s">
        <v>78</v>
      </c>
      <c r="F18" s="128"/>
      <c r="G18" s="129"/>
      <c r="H18" s="127">
        <v>44490.70763888889</v>
      </c>
      <c r="I18" s="127">
        <v>44490.75347222222</v>
      </c>
      <c r="J18" s="94">
        <f>(I18-H18)*24</f>
        <v>1.0999999999185093</v>
      </c>
      <c r="K18" s="135">
        <f>(I18-H18)*24</f>
        <v>1.0999999999185093</v>
      </c>
      <c r="L18" s="130" t="s">
        <v>23</v>
      </c>
      <c r="M18" s="131" t="s">
        <v>23</v>
      </c>
      <c r="N18" s="131" t="s">
        <v>23</v>
      </c>
      <c r="O18" s="132" t="s">
        <v>17</v>
      </c>
      <c r="P18" s="127"/>
      <c r="Q18" s="35">
        <f t="shared" si="0"/>
        <v>1</v>
      </c>
      <c r="R18" s="35">
        <f t="shared" si="1"/>
      </c>
      <c r="S18" s="35">
        <f t="shared" si="2"/>
      </c>
      <c r="T18" s="36">
        <f>SUM(Q18:S18)</f>
        <v>1</v>
      </c>
      <c r="U18" s="117"/>
      <c r="V18" s="117"/>
      <c r="W18" s="117"/>
    </row>
    <row r="19" spans="1:23" s="116" customFormat="1" ht="15.75" customHeight="1">
      <c r="A19" s="119">
        <v>13</v>
      </c>
      <c r="B19" s="120">
        <v>44490.75347222222</v>
      </c>
      <c r="C19" s="120">
        <v>44494.333333333336</v>
      </c>
      <c r="D19" s="133">
        <f>(C19-B19)*24+1</f>
        <v>86.91666666680248</v>
      </c>
      <c r="E19" s="120" t="s">
        <v>66</v>
      </c>
      <c r="F19" s="121"/>
      <c r="G19" s="122"/>
      <c r="H19" s="120"/>
      <c r="I19" s="120"/>
      <c r="J19" s="133">
        <f>(I19-H19)*24</f>
        <v>0</v>
      </c>
      <c r="K19" s="133">
        <f>(I19-H19)*24</f>
        <v>0</v>
      </c>
      <c r="L19" s="123"/>
      <c r="M19" s="124"/>
      <c r="N19" s="124"/>
      <c r="O19" s="125" t="s">
        <v>21</v>
      </c>
      <c r="P19" s="120"/>
      <c r="Q19" s="35">
        <f aca="true" t="shared" si="4" ref="Q19:Q40">IF($O19="Store Lost",1,"")</f>
      </c>
      <c r="R19" s="35">
        <f aca="true" t="shared" si="5" ref="R19:R40">IF($O19="Scheduled",1,"")</f>
        <v>1</v>
      </c>
      <c r="S19" s="35">
        <f aca="true" t="shared" si="6" ref="S19:S40">IF($O19="Inhibits beam to user",1,"")</f>
      </c>
      <c r="T19" s="36">
        <f>SUM(Q19:S19)</f>
        <v>1</v>
      </c>
      <c r="U19" s="115"/>
      <c r="V19" s="115"/>
      <c r="W19" s="115"/>
    </row>
    <row r="20" spans="1:23" s="34" customFormat="1" ht="12.75">
      <c r="A20" s="105"/>
      <c r="B20" s="106"/>
      <c r="C20" s="106"/>
      <c r="D20" s="107">
        <f>SUM(D17:D19)</f>
        <v>143.43333333346527</v>
      </c>
      <c r="E20" s="108"/>
      <c r="F20" s="109"/>
      <c r="G20" s="110"/>
      <c r="H20" s="111"/>
      <c r="I20" s="111"/>
      <c r="J20" s="136">
        <f>SUM(J17:J19)</f>
        <v>1.5666666665347293</v>
      </c>
      <c r="K20" s="136">
        <f>SUM(K17:K19)</f>
        <v>1.5666666665347293</v>
      </c>
      <c r="L20" s="112"/>
      <c r="M20" s="113"/>
      <c r="N20" s="113"/>
      <c r="O20" s="114"/>
      <c r="P20" s="108"/>
      <c r="Q20" s="35">
        <f t="shared" si="4"/>
      </c>
      <c r="R20" s="35">
        <f t="shared" si="5"/>
      </c>
      <c r="S20" s="35">
        <f t="shared" si="6"/>
      </c>
      <c r="T20" s="36">
        <f>SUM(Q20:S20)</f>
        <v>0</v>
      </c>
      <c r="U20" s="30"/>
      <c r="V20" s="30"/>
      <c r="W20" s="30"/>
    </row>
    <row r="21" spans="1:23" s="116" customFormat="1" ht="15.75" customHeight="1">
      <c r="A21" s="119">
        <v>14</v>
      </c>
      <c r="B21" s="120">
        <v>44495.333333333336</v>
      </c>
      <c r="C21" s="120">
        <v>44501.333333333336</v>
      </c>
      <c r="D21" s="133">
        <f>(C21-B21)*24</f>
        <v>144</v>
      </c>
      <c r="E21" s="120" t="s">
        <v>66</v>
      </c>
      <c r="F21" s="121"/>
      <c r="G21" s="122"/>
      <c r="H21" s="120"/>
      <c r="I21" s="120"/>
      <c r="J21" s="133">
        <f>(I21-H21)*24</f>
        <v>0</v>
      </c>
      <c r="K21" s="133">
        <f>(I21-H21)*24</f>
        <v>0</v>
      </c>
      <c r="L21" s="123"/>
      <c r="M21" s="124"/>
      <c r="N21" s="124"/>
      <c r="O21" s="125" t="s">
        <v>21</v>
      </c>
      <c r="P21" s="120"/>
      <c r="Q21" s="35">
        <f t="shared" si="4"/>
      </c>
      <c r="R21" s="35">
        <f t="shared" si="5"/>
        <v>1</v>
      </c>
      <c r="S21" s="35">
        <f t="shared" si="6"/>
      </c>
      <c r="T21" s="36">
        <f aca="true" t="shared" si="7" ref="T21:T26">SUM(Q21:S21)</f>
        <v>1</v>
      </c>
      <c r="U21" s="115"/>
      <c r="V21" s="115"/>
      <c r="W21" s="115"/>
    </row>
    <row r="22" spans="1:23" s="34" customFormat="1" ht="12.75">
      <c r="A22" s="105"/>
      <c r="B22" s="106"/>
      <c r="C22" s="106"/>
      <c r="D22" s="107">
        <f>SUM(D21:D21)</f>
        <v>144</v>
      </c>
      <c r="E22" s="108"/>
      <c r="F22" s="109"/>
      <c r="G22" s="110"/>
      <c r="H22" s="111"/>
      <c r="I22" s="111"/>
      <c r="J22" s="136">
        <f>SUM(J21:J21)</f>
        <v>0</v>
      </c>
      <c r="K22" s="136">
        <f>SUM(K21:K21)</f>
        <v>0</v>
      </c>
      <c r="L22" s="112"/>
      <c r="M22" s="113"/>
      <c r="N22" s="113"/>
      <c r="O22" s="114"/>
      <c r="P22" s="108"/>
      <c r="Q22" s="35">
        <f t="shared" si="4"/>
      </c>
      <c r="R22" s="35">
        <f t="shared" si="5"/>
      </c>
      <c r="S22" s="35">
        <f t="shared" si="6"/>
      </c>
      <c r="T22" s="36">
        <f t="shared" si="7"/>
        <v>0</v>
      </c>
      <c r="U22" s="30"/>
      <c r="V22" s="30"/>
      <c r="W22" s="30"/>
    </row>
    <row r="23" spans="1:23" s="116" customFormat="1" ht="15.75" customHeight="1">
      <c r="A23" s="119">
        <v>15</v>
      </c>
      <c r="B23" s="120">
        <v>44502.333333333336</v>
      </c>
      <c r="C23" s="120">
        <v>44505.768055555556</v>
      </c>
      <c r="D23" s="133">
        <f>(C23-B23)*24</f>
        <v>82.43333333329065</v>
      </c>
      <c r="E23" s="120" t="s">
        <v>76</v>
      </c>
      <c r="F23" s="121"/>
      <c r="G23" s="122"/>
      <c r="H23" s="120">
        <v>44505.768055555556</v>
      </c>
      <c r="I23" s="137">
        <v>44505.788194444445</v>
      </c>
      <c r="J23" s="133">
        <f>(I23-H23)*24</f>
        <v>0.48333333333721384</v>
      </c>
      <c r="K23" s="133">
        <f>(I23-H23)*24</f>
        <v>0.48333333333721384</v>
      </c>
      <c r="L23" s="123" t="s">
        <v>23</v>
      </c>
      <c r="M23" s="124" t="s">
        <v>23</v>
      </c>
      <c r="N23" s="124" t="s">
        <v>23</v>
      </c>
      <c r="O23" s="125" t="s">
        <v>17</v>
      </c>
      <c r="P23" s="120"/>
      <c r="Q23" s="35">
        <f t="shared" si="4"/>
        <v>1</v>
      </c>
      <c r="R23" s="35">
        <f t="shared" si="5"/>
      </c>
      <c r="S23" s="35">
        <f t="shared" si="6"/>
      </c>
      <c r="T23" s="36">
        <f t="shared" si="7"/>
        <v>1</v>
      </c>
      <c r="U23" s="115"/>
      <c r="V23" s="115"/>
      <c r="W23" s="115"/>
    </row>
    <row r="24" spans="1:23" s="118" customFormat="1" ht="12.75">
      <c r="A24" s="126">
        <v>16</v>
      </c>
      <c r="B24" s="127">
        <v>44505.788194444445</v>
      </c>
      <c r="C24" s="127">
        <v>44508.333333333336</v>
      </c>
      <c r="D24" s="94">
        <f>(C24-B24)*24</f>
        <v>61.08333333337214</v>
      </c>
      <c r="E24" s="127" t="s">
        <v>66</v>
      </c>
      <c r="F24" s="128"/>
      <c r="G24" s="129"/>
      <c r="H24" s="127"/>
      <c r="I24" s="127"/>
      <c r="J24" s="94">
        <f>(I24-H24)*24</f>
        <v>0</v>
      </c>
      <c r="K24" s="135">
        <f>(I24-H24)*24</f>
        <v>0</v>
      </c>
      <c r="L24" s="130"/>
      <c r="M24" s="131"/>
      <c r="N24" s="131"/>
      <c r="O24" s="132" t="s">
        <v>21</v>
      </c>
      <c r="P24" s="127"/>
      <c r="Q24" s="35">
        <f t="shared" si="4"/>
      </c>
      <c r="R24" s="35">
        <f t="shared" si="5"/>
        <v>1</v>
      </c>
      <c r="S24" s="35">
        <f t="shared" si="6"/>
      </c>
      <c r="T24" s="36">
        <f t="shared" si="7"/>
        <v>1</v>
      </c>
      <c r="U24" s="117"/>
      <c r="V24" s="117"/>
      <c r="W24" s="117"/>
    </row>
    <row r="25" spans="1:23" s="34" customFormat="1" ht="12.75">
      <c r="A25" s="105"/>
      <c r="B25" s="106"/>
      <c r="C25" s="106"/>
      <c r="D25" s="107">
        <f>SUM(D23:D24)</f>
        <v>143.5166666666628</v>
      </c>
      <c r="E25" s="108"/>
      <c r="F25" s="109"/>
      <c r="G25" s="110"/>
      <c r="H25" s="111"/>
      <c r="I25" s="111"/>
      <c r="J25" s="136">
        <f>SUM(J23:J24)</f>
        <v>0.48333333333721384</v>
      </c>
      <c r="K25" s="136">
        <f>SUM(K23:K24)</f>
        <v>0.48333333333721384</v>
      </c>
      <c r="L25" s="112"/>
      <c r="M25" s="113"/>
      <c r="N25" s="113"/>
      <c r="O25" s="114"/>
      <c r="P25" s="108"/>
      <c r="Q25" s="35">
        <f t="shared" si="4"/>
      </c>
      <c r="R25" s="35">
        <f t="shared" si="5"/>
      </c>
      <c r="S25" s="35">
        <f t="shared" si="6"/>
      </c>
      <c r="T25" s="36">
        <f t="shared" si="7"/>
        <v>0</v>
      </c>
      <c r="U25" s="30"/>
      <c r="V25" s="30"/>
      <c r="W25" s="30"/>
    </row>
    <row r="26" spans="1:23" s="118" customFormat="1" ht="12.75">
      <c r="A26" s="126">
        <v>17</v>
      </c>
      <c r="B26" s="127">
        <v>44509.333333333336</v>
      </c>
      <c r="C26" s="127">
        <v>44513.25208333333</v>
      </c>
      <c r="D26" s="94">
        <f>(C26-B26)*24</f>
        <v>94.04999999993015</v>
      </c>
      <c r="E26" s="127" t="s">
        <v>79</v>
      </c>
      <c r="F26" s="128"/>
      <c r="G26" s="129"/>
      <c r="H26" s="127">
        <v>44513.25208333333</v>
      </c>
      <c r="I26" s="160">
        <v>44513.29027777778</v>
      </c>
      <c r="J26" s="94">
        <f>(I26-H26)*24</f>
        <v>0.9166666666860692</v>
      </c>
      <c r="K26" s="135">
        <f>(I26-H26)*24</f>
        <v>0.9166666666860692</v>
      </c>
      <c r="L26" s="130" t="s">
        <v>23</v>
      </c>
      <c r="M26" s="131" t="s">
        <v>23</v>
      </c>
      <c r="N26" s="131" t="s">
        <v>23</v>
      </c>
      <c r="O26" s="132" t="s">
        <v>17</v>
      </c>
      <c r="P26" s="127"/>
      <c r="Q26" s="35">
        <f t="shared" si="4"/>
        <v>1</v>
      </c>
      <c r="R26" s="35">
        <f t="shared" si="5"/>
      </c>
      <c r="S26" s="35">
        <f t="shared" si="6"/>
      </c>
      <c r="T26" s="36">
        <f t="shared" si="7"/>
        <v>1</v>
      </c>
      <c r="U26" s="117"/>
      <c r="V26" s="117"/>
      <c r="W26" s="117"/>
    </row>
    <row r="27" spans="1:23" s="116" customFormat="1" ht="15.75" customHeight="1">
      <c r="A27" s="119">
        <v>18</v>
      </c>
      <c r="B27" s="120">
        <v>44513.29027777778</v>
      </c>
      <c r="C27" s="120">
        <v>44515.333333333336</v>
      </c>
      <c r="D27" s="133">
        <f>(C27-B27)*24</f>
        <v>49.03333333338378</v>
      </c>
      <c r="E27" s="120" t="s">
        <v>66</v>
      </c>
      <c r="F27" s="121"/>
      <c r="G27" s="122"/>
      <c r="H27" s="120"/>
      <c r="I27" s="120"/>
      <c r="J27" s="133">
        <f>(I27-H27)*24</f>
        <v>0</v>
      </c>
      <c r="K27" s="133">
        <f>(I27-H27)*24</f>
        <v>0</v>
      </c>
      <c r="L27" s="123"/>
      <c r="M27" s="124"/>
      <c r="N27" s="124"/>
      <c r="O27" s="125" t="s">
        <v>21</v>
      </c>
      <c r="P27" s="120"/>
      <c r="Q27" s="35">
        <f t="shared" si="4"/>
      </c>
      <c r="R27" s="35">
        <f t="shared" si="5"/>
        <v>1</v>
      </c>
      <c r="S27" s="35">
        <f t="shared" si="6"/>
      </c>
      <c r="T27" s="36">
        <f aca="true" t="shared" si="8" ref="T27:T38">SUM(Q27:S27)</f>
        <v>1</v>
      </c>
      <c r="U27" s="115"/>
      <c r="V27" s="115"/>
      <c r="W27" s="115"/>
    </row>
    <row r="28" spans="1:23" s="34" customFormat="1" ht="12.75">
      <c r="A28" s="105"/>
      <c r="B28" s="106"/>
      <c r="C28" s="106"/>
      <c r="D28" s="107">
        <f>SUM(D26:D27)</f>
        <v>143.08333333331393</v>
      </c>
      <c r="E28" s="108"/>
      <c r="F28" s="109"/>
      <c r="G28" s="110"/>
      <c r="H28" s="111"/>
      <c r="I28" s="111"/>
      <c r="J28" s="136">
        <f>SUM(J26:J27)</f>
        <v>0.9166666666860692</v>
      </c>
      <c r="K28" s="136">
        <f>SUM(K26:K27)</f>
        <v>0.9166666666860692</v>
      </c>
      <c r="L28" s="112"/>
      <c r="M28" s="113"/>
      <c r="N28" s="113"/>
      <c r="O28" s="114"/>
      <c r="P28" s="108"/>
      <c r="Q28" s="35">
        <f t="shared" si="4"/>
      </c>
      <c r="R28" s="35">
        <f t="shared" si="5"/>
      </c>
      <c r="S28" s="35">
        <f t="shared" si="6"/>
      </c>
      <c r="T28" s="36">
        <f t="shared" si="8"/>
        <v>0</v>
      </c>
      <c r="U28" s="30"/>
      <c r="V28" s="30"/>
      <c r="W28" s="30"/>
    </row>
    <row r="29" spans="1:23" s="118" customFormat="1" ht="12.75">
      <c r="A29" s="126">
        <v>19</v>
      </c>
      <c r="B29" s="127">
        <v>44517.333333333336</v>
      </c>
      <c r="C29" s="127">
        <v>44520.86597222222</v>
      </c>
      <c r="D29" s="94">
        <f>(C29-B29)*24</f>
        <v>84.78333333326736</v>
      </c>
      <c r="E29" s="127" t="s">
        <v>80</v>
      </c>
      <c r="F29" s="128"/>
      <c r="G29" s="129"/>
      <c r="H29" s="127">
        <v>44520.86597222222</v>
      </c>
      <c r="I29" s="160">
        <v>44520.915972222225</v>
      </c>
      <c r="J29" s="94">
        <f>(I29-H29)*24</f>
        <v>1.2000000000698492</v>
      </c>
      <c r="K29" s="135">
        <f>(I29-H29)*24</f>
        <v>1.2000000000698492</v>
      </c>
      <c r="L29" s="130" t="s">
        <v>22</v>
      </c>
      <c r="M29" s="131" t="s">
        <v>22</v>
      </c>
      <c r="N29" s="131" t="s">
        <v>22</v>
      </c>
      <c r="O29" s="132" t="s">
        <v>17</v>
      </c>
      <c r="P29" s="127"/>
      <c r="Q29" s="35">
        <f t="shared" si="4"/>
        <v>1</v>
      </c>
      <c r="R29" s="35">
        <f t="shared" si="5"/>
      </c>
      <c r="S29" s="35">
        <f t="shared" si="6"/>
      </c>
      <c r="T29" s="36">
        <f t="shared" si="8"/>
        <v>1</v>
      </c>
      <c r="U29" s="117"/>
      <c r="V29" s="117"/>
      <c r="W29" s="117"/>
    </row>
    <row r="30" spans="1:23" s="116" customFormat="1" ht="15.75" customHeight="1">
      <c r="A30" s="119">
        <v>20</v>
      </c>
      <c r="B30" s="120">
        <v>44520.915972222225</v>
      </c>
      <c r="C30" s="120">
        <v>44525</v>
      </c>
      <c r="D30" s="133">
        <f>(C30-B30)*24</f>
        <v>98.01666666660458</v>
      </c>
      <c r="E30" s="120" t="s">
        <v>66</v>
      </c>
      <c r="F30" s="121"/>
      <c r="G30" s="122"/>
      <c r="H30" s="120"/>
      <c r="I30" s="120"/>
      <c r="J30" s="133">
        <f>(I30-H30)*24</f>
        <v>0</v>
      </c>
      <c r="K30" s="133">
        <f>(I30-H30)*24</f>
        <v>0</v>
      </c>
      <c r="L30" s="123"/>
      <c r="M30" s="124"/>
      <c r="N30" s="124"/>
      <c r="O30" s="125" t="s">
        <v>21</v>
      </c>
      <c r="P30" s="120"/>
      <c r="Q30" s="35">
        <f t="shared" si="4"/>
      </c>
      <c r="R30" s="35">
        <f t="shared" si="5"/>
        <v>1</v>
      </c>
      <c r="S30" s="35">
        <f t="shared" si="6"/>
      </c>
      <c r="T30" s="36">
        <f t="shared" si="8"/>
        <v>1</v>
      </c>
      <c r="U30" s="115"/>
      <c r="V30" s="115"/>
      <c r="W30" s="115"/>
    </row>
    <row r="31" spans="1:23" s="34" customFormat="1" ht="12.75">
      <c r="A31" s="105"/>
      <c r="B31" s="106"/>
      <c r="C31" s="106"/>
      <c r="D31" s="107">
        <f>SUM(D29:D30)</f>
        <v>182.79999999987194</v>
      </c>
      <c r="E31" s="108"/>
      <c r="F31" s="109"/>
      <c r="G31" s="110"/>
      <c r="H31" s="111"/>
      <c r="I31" s="111"/>
      <c r="J31" s="136">
        <f>SUM(J29:J30)</f>
        <v>1.2000000000698492</v>
      </c>
      <c r="K31" s="136">
        <f>SUM(K29:K30)</f>
        <v>1.2000000000698492</v>
      </c>
      <c r="L31" s="112"/>
      <c r="M31" s="113"/>
      <c r="N31" s="113"/>
      <c r="O31" s="114"/>
      <c r="P31" s="108"/>
      <c r="Q31" s="35">
        <f t="shared" si="4"/>
      </c>
      <c r="R31" s="35">
        <f t="shared" si="5"/>
      </c>
      <c r="S31" s="35">
        <f t="shared" si="6"/>
      </c>
      <c r="T31" s="36">
        <f t="shared" si="8"/>
        <v>0</v>
      </c>
      <c r="U31" s="30"/>
      <c r="V31" s="30"/>
      <c r="W31" s="30"/>
    </row>
    <row r="32" spans="1:23" s="116" customFormat="1" ht="15.75" customHeight="1">
      <c r="A32" s="119">
        <v>21</v>
      </c>
      <c r="B32" s="120">
        <v>44526.333333333336</v>
      </c>
      <c r="C32" s="120">
        <v>44526.53402777778</v>
      </c>
      <c r="D32" s="133">
        <f>(C32-B32)*24</f>
        <v>4.816666666651145</v>
      </c>
      <c r="E32" s="120" t="s">
        <v>81</v>
      </c>
      <c r="F32" s="121"/>
      <c r="G32" s="122"/>
      <c r="H32" s="120">
        <v>44526.53402777778</v>
      </c>
      <c r="I32" s="137">
        <v>44526.57430555556</v>
      </c>
      <c r="J32" s="133">
        <f>(I32-H32)*24</f>
        <v>0.9666666666744277</v>
      </c>
      <c r="K32" s="133">
        <f>(I32-H32)*24</f>
        <v>0.9666666666744277</v>
      </c>
      <c r="L32" s="123" t="s">
        <v>67</v>
      </c>
      <c r="M32" s="124" t="s">
        <v>67</v>
      </c>
      <c r="N32" s="124" t="s">
        <v>67</v>
      </c>
      <c r="O32" s="125" t="s">
        <v>17</v>
      </c>
      <c r="P32" s="120"/>
      <c r="Q32" s="35">
        <f t="shared" si="4"/>
        <v>1</v>
      </c>
      <c r="R32" s="35">
        <f t="shared" si="5"/>
      </c>
      <c r="S32" s="35">
        <f t="shared" si="6"/>
      </c>
      <c r="T32" s="36">
        <f t="shared" si="8"/>
        <v>1</v>
      </c>
      <c r="U32" s="115"/>
      <c r="V32" s="115"/>
      <c r="W32" s="115"/>
    </row>
    <row r="33" spans="1:23" s="118" customFormat="1" ht="12.75">
      <c r="A33" s="126">
        <v>22</v>
      </c>
      <c r="B33" s="127">
        <v>44526.57430555556</v>
      </c>
      <c r="C33" s="127">
        <v>44531.614583333336</v>
      </c>
      <c r="D33" s="94">
        <f>(C33-B33)*24</f>
        <v>120.96666666667443</v>
      </c>
      <c r="E33" s="127" t="s">
        <v>82</v>
      </c>
      <c r="F33" s="128"/>
      <c r="G33" s="129"/>
      <c r="H33" s="127">
        <v>44531.614583333336</v>
      </c>
      <c r="I33" s="127">
        <v>44531.654861111114</v>
      </c>
      <c r="J33" s="94">
        <f>(I33-H33)*24</f>
        <v>0.9666666666744277</v>
      </c>
      <c r="K33" s="135">
        <f>(I33-H33)*24</f>
        <v>0.9666666666744277</v>
      </c>
      <c r="L33" s="130" t="s">
        <v>22</v>
      </c>
      <c r="M33" s="131" t="s">
        <v>22</v>
      </c>
      <c r="N33" s="131" t="s">
        <v>22</v>
      </c>
      <c r="O33" s="132" t="s">
        <v>17</v>
      </c>
      <c r="P33" s="127"/>
      <c r="Q33" s="35">
        <f t="shared" si="4"/>
        <v>1</v>
      </c>
      <c r="R33" s="35">
        <f t="shared" si="5"/>
      </c>
      <c r="S33" s="35">
        <f t="shared" si="6"/>
      </c>
      <c r="T33" s="36">
        <f t="shared" si="8"/>
        <v>1</v>
      </c>
      <c r="U33" s="117"/>
      <c r="V33" s="117"/>
      <c r="W33" s="117"/>
    </row>
    <row r="34" spans="1:23" s="116" customFormat="1" ht="15.75" customHeight="1">
      <c r="A34" s="119">
        <v>23</v>
      </c>
      <c r="B34" s="120">
        <v>44531.654861111114</v>
      </c>
      <c r="C34" s="120">
        <v>44535.12152777778</v>
      </c>
      <c r="D34" s="133">
        <f>(C34-B34)*24</f>
        <v>83.20000000001164</v>
      </c>
      <c r="E34" s="120" t="s">
        <v>76</v>
      </c>
      <c r="F34" s="121"/>
      <c r="G34" s="122"/>
      <c r="H34" s="120">
        <v>44535.12152777778</v>
      </c>
      <c r="I34" s="137">
        <v>44535.14861111111</v>
      </c>
      <c r="J34" s="133">
        <f>(I34-H34)*24</f>
        <v>0.6499999998486601</v>
      </c>
      <c r="K34" s="133">
        <f>(I34-H34)*24</f>
        <v>0.6499999998486601</v>
      </c>
      <c r="L34" s="123" t="s">
        <v>23</v>
      </c>
      <c r="M34" s="124" t="s">
        <v>23</v>
      </c>
      <c r="N34" s="124" t="s">
        <v>23</v>
      </c>
      <c r="O34" s="125" t="s">
        <v>17</v>
      </c>
      <c r="P34" s="120"/>
      <c r="Q34" s="35">
        <f t="shared" si="4"/>
        <v>1</v>
      </c>
      <c r="R34" s="35">
        <f t="shared" si="5"/>
      </c>
      <c r="S34" s="35">
        <f t="shared" si="6"/>
      </c>
      <c r="T34" s="36">
        <f t="shared" si="8"/>
        <v>1</v>
      </c>
      <c r="U34" s="115"/>
      <c r="V34" s="115"/>
      <c r="W34" s="115"/>
    </row>
    <row r="35" spans="1:23" s="118" customFormat="1" ht="12.75">
      <c r="A35" s="126">
        <v>24</v>
      </c>
      <c r="B35" s="127">
        <v>44535.14861111111</v>
      </c>
      <c r="C35" s="127">
        <v>44536.333333333336</v>
      </c>
      <c r="D35" s="94">
        <f>(C35-B35)*24</f>
        <v>28.43333333346527</v>
      </c>
      <c r="E35" s="127" t="s">
        <v>66</v>
      </c>
      <c r="F35" s="128"/>
      <c r="G35" s="129"/>
      <c r="H35" s="127"/>
      <c r="I35" s="127"/>
      <c r="J35" s="94">
        <f>(I35-H35)*24</f>
        <v>0</v>
      </c>
      <c r="K35" s="135">
        <f>(I35-H35)*24</f>
        <v>0</v>
      </c>
      <c r="L35" s="130"/>
      <c r="M35" s="131"/>
      <c r="N35" s="131"/>
      <c r="O35" s="132" t="s">
        <v>21</v>
      </c>
      <c r="P35" s="127"/>
      <c r="Q35" s="35">
        <f t="shared" si="4"/>
      </c>
      <c r="R35" s="35">
        <f t="shared" si="5"/>
        <v>1</v>
      </c>
      <c r="S35" s="35">
        <f t="shared" si="6"/>
      </c>
      <c r="T35" s="36">
        <f t="shared" si="8"/>
        <v>1</v>
      </c>
      <c r="U35" s="117"/>
      <c r="V35" s="117"/>
      <c r="W35" s="117"/>
    </row>
    <row r="36" spans="1:23" s="34" customFormat="1" ht="12.75">
      <c r="A36" s="105"/>
      <c r="B36" s="106"/>
      <c r="C36" s="106"/>
      <c r="D36" s="107">
        <f>SUM(D32:D35)</f>
        <v>237.41666666680248</v>
      </c>
      <c r="E36" s="108"/>
      <c r="F36" s="109"/>
      <c r="G36" s="110"/>
      <c r="H36" s="111"/>
      <c r="I36" s="111"/>
      <c r="J36" s="136">
        <f>SUM(J32:J35)</f>
        <v>2.5833333331975155</v>
      </c>
      <c r="K36" s="136">
        <f>SUM(K32:K35)</f>
        <v>2.5833333331975155</v>
      </c>
      <c r="L36" s="112"/>
      <c r="M36" s="113"/>
      <c r="N36" s="113"/>
      <c r="O36" s="114"/>
      <c r="P36" s="108"/>
      <c r="Q36" s="35">
        <f t="shared" si="4"/>
      </c>
      <c r="R36" s="35">
        <f t="shared" si="5"/>
      </c>
      <c r="S36" s="35">
        <f t="shared" si="6"/>
      </c>
      <c r="T36" s="36">
        <f t="shared" si="8"/>
        <v>0</v>
      </c>
      <c r="U36" s="30"/>
      <c r="V36" s="30"/>
      <c r="W36" s="30"/>
    </row>
    <row r="37" spans="1:23" s="116" customFormat="1" ht="15.75" customHeight="1">
      <c r="A37" s="119">
        <v>25</v>
      </c>
      <c r="B37" s="120">
        <v>44538.333333333336</v>
      </c>
      <c r="C37" s="120">
        <v>44543.333333333336</v>
      </c>
      <c r="D37" s="133">
        <f>(C37-B37)*24</f>
        <v>120</v>
      </c>
      <c r="E37" s="120" t="s">
        <v>66</v>
      </c>
      <c r="F37" s="121"/>
      <c r="G37" s="122"/>
      <c r="H37" s="120"/>
      <c r="I37" s="120"/>
      <c r="J37" s="133">
        <f>(I37-H37)*24</f>
        <v>0</v>
      </c>
      <c r="K37" s="133">
        <f>(I37-H37)*24</f>
        <v>0</v>
      </c>
      <c r="L37" s="123"/>
      <c r="M37" s="124"/>
      <c r="N37" s="124"/>
      <c r="O37" s="125" t="s">
        <v>21</v>
      </c>
      <c r="P37" s="120"/>
      <c r="Q37" s="35">
        <f t="shared" si="4"/>
      </c>
      <c r="R37" s="35">
        <f t="shared" si="5"/>
        <v>1</v>
      </c>
      <c r="S37" s="35">
        <f t="shared" si="6"/>
      </c>
      <c r="T37" s="36">
        <f t="shared" si="8"/>
        <v>1</v>
      </c>
      <c r="U37" s="115"/>
      <c r="V37" s="115"/>
      <c r="W37" s="115"/>
    </row>
    <row r="38" spans="1:23" s="34" customFormat="1" ht="12.75">
      <c r="A38" s="105"/>
      <c r="B38" s="106"/>
      <c r="C38" s="106"/>
      <c r="D38" s="107">
        <f>SUM(D37:D37)</f>
        <v>120</v>
      </c>
      <c r="E38" s="108"/>
      <c r="F38" s="109"/>
      <c r="G38" s="110"/>
      <c r="H38" s="111"/>
      <c r="I38" s="111"/>
      <c r="J38" s="136">
        <f>SUM(J37:J37)</f>
        <v>0</v>
      </c>
      <c r="K38" s="136">
        <f>SUM(K37:K37)</f>
        <v>0</v>
      </c>
      <c r="L38" s="112"/>
      <c r="M38" s="113"/>
      <c r="N38" s="113"/>
      <c r="O38" s="114"/>
      <c r="P38" s="108"/>
      <c r="Q38" s="35">
        <f t="shared" si="4"/>
      </c>
      <c r="R38" s="35">
        <f t="shared" si="5"/>
      </c>
      <c r="S38" s="35">
        <f t="shared" si="6"/>
      </c>
      <c r="T38" s="36">
        <f t="shared" si="8"/>
        <v>0</v>
      </c>
      <c r="U38" s="30"/>
      <c r="V38" s="30"/>
      <c r="W38" s="30"/>
    </row>
    <row r="39" spans="1:23" s="116" customFormat="1" ht="15.75" customHeight="1">
      <c r="A39" s="119">
        <v>26</v>
      </c>
      <c r="B39" s="120">
        <v>44544.333333333336</v>
      </c>
      <c r="C39" s="120">
        <v>44551.333333333336</v>
      </c>
      <c r="D39" s="133">
        <f>(C39-B39)*24</f>
        <v>168</v>
      </c>
      <c r="E39" s="120" t="s">
        <v>66</v>
      </c>
      <c r="F39" s="121"/>
      <c r="G39" s="122"/>
      <c r="H39" s="120"/>
      <c r="I39" s="120"/>
      <c r="J39" s="133">
        <f>(I39-H39)*24</f>
        <v>0</v>
      </c>
      <c r="K39" s="133">
        <f>(I39-H39)*24</f>
        <v>0</v>
      </c>
      <c r="L39" s="123"/>
      <c r="M39" s="124"/>
      <c r="N39" s="124"/>
      <c r="O39" s="125" t="s">
        <v>21</v>
      </c>
      <c r="P39" s="120"/>
      <c r="Q39" s="35">
        <f t="shared" si="4"/>
      </c>
      <c r="R39" s="35">
        <f t="shared" si="5"/>
        <v>1</v>
      </c>
      <c r="S39" s="35">
        <f t="shared" si="6"/>
      </c>
      <c r="T39" s="36">
        <f>SUM(Q39:S39)</f>
        <v>1</v>
      </c>
      <c r="U39" s="115"/>
      <c r="V39" s="115"/>
      <c r="W39" s="115"/>
    </row>
    <row r="40" spans="1:23" s="34" customFormat="1" ht="12.75">
      <c r="A40" s="105"/>
      <c r="B40" s="106"/>
      <c r="C40" s="106"/>
      <c r="D40" s="107">
        <f>SUM(D39:D39)</f>
        <v>168</v>
      </c>
      <c r="E40" s="108"/>
      <c r="F40" s="109"/>
      <c r="G40" s="110"/>
      <c r="H40" s="111"/>
      <c r="I40" s="111"/>
      <c r="J40" s="136">
        <f>SUM(J39:J39)</f>
        <v>0</v>
      </c>
      <c r="K40" s="136">
        <f>SUM(K39:K39)</f>
        <v>0</v>
      </c>
      <c r="L40" s="112"/>
      <c r="M40" s="113"/>
      <c r="N40" s="113"/>
      <c r="O40" s="114"/>
      <c r="P40" s="108"/>
      <c r="Q40" s="35">
        <f t="shared" si="4"/>
      </c>
      <c r="R40" s="35">
        <f t="shared" si="5"/>
      </c>
      <c r="S40" s="35">
        <f t="shared" si="6"/>
      </c>
      <c r="T40" s="36">
        <f>SUM(Q40:S40)</f>
        <v>0</v>
      </c>
      <c r="U40" s="30"/>
      <c r="V40" s="30"/>
      <c r="W40" s="30"/>
    </row>
    <row r="41" spans="1:20" ht="12.75">
      <c r="A41" s="85"/>
      <c r="B41" s="86"/>
      <c r="C41" s="86"/>
      <c r="D41" s="49"/>
      <c r="E41" s="87"/>
      <c r="F41" s="88"/>
      <c r="G41" s="89"/>
      <c r="H41" s="86"/>
      <c r="I41" s="86"/>
      <c r="J41" s="90"/>
      <c r="K41" s="90"/>
      <c r="L41" s="91"/>
      <c r="M41" s="92"/>
      <c r="N41" s="92"/>
      <c r="O41" s="93"/>
      <c r="P41" s="87"/>
      <c r="Q41" s="30"/>
      <c r="R41" s="30"/>
      <c r="S41" s="30"/>
      <c r="T41" s="30"/>
    </row>
    <row r="42" spans="1:20" ht="12.75">
      <c r="A42" s="85"/>
      <c r="B42" s="86"/>
      <c r="C42" s="86"/>
      <c r="D42" s="49"/>
      <c r="E42" s="87" t="s">
        <v>68</v>
      </c>
      <c r="F42" s="88"/>
      <c r="G42" s="89"/>
      <c r="H42" s="86"/>
      <c r="I42" s="86"/>
      <c r="J42" s="90"/>
      <c r="K42" s="90"/>
      <c r="L42" s="91"/>
      <c r="M42" s="92"/>
      <c r="N42" s="92"/>
      <c r="O42" s="93"/>
      <c r="P42" s="87"/>
      <c r="Q42" s="30"/>
      <c r="R42" s="30"/>
      <c r="S42" s="30"/>
      <c r="T42" s="30"/>
    </row>
    <row r="43" spans="1:18" ht="12.75">
      <c r="A43" s="28"/>
      <c r="B43" s="14"/>
      <c r="C43" s="37" t="s">
        <v>25</v>
      </c>
      <c r="D43" s="38">
        <f>Q45</f>
        <v>13</v>
      </c>
      <c r="E43" s="16"/>
      <c r="F43" s="29"/>
      <c r="G43" s="18"/>
      <c r="H43" s="19"/>
      <c r="I43" s="19"/>
      <c r="J43" s="39" t="s">
        <v>26</v>
      </c>
      <c r="K43" s="40"/>
      <c r="L43" s="21"/>
      <c r="M43" s="22"/>
      <c r="N43" s="22"/>
      <c r="O43" s="41"/>
      <c r="P43" s="23"/>
      <c r="R43" s="12">
        <f>IF($L43="Scheduled",1,"")</f>
      </c>
    </row>
    <row r="44" spans="1:18" ht="12.75">
      <c r="A44" s="28"/>
      <c r="B44" s="14"/>
      <c r="C44" s="37" t="s">
        <v>27</v>
      </c>
      <c r="D44" s="38">
        <f>D45-D43</f>
        <v>8</v>
      </c>
      <c r="E44" s="16"/>
      <c r="F44" s="29"/>
      <c r="G44" s="18"/>
      <c r="H44" s="19"/>
      <c r="I44" s="19"/>
      <c r="J44" s="15" t="s">
        <v>28</v>
      </c>
      <c r="K44" s="42" t="s">
        <v>13</v>
      </c>
      <c r="L44" s="21"/>
      <c r="M44" s="22"/>
      <c r="N44" s="22"/>
      <c r="O44" s="41"/>
      <c r="P44" s="23"/>
      <c r="R44" s="12">
        <f>IF($L44="Scheduled",1,"")</f>
      </c>
    </row>
    <row r="45" spans="1:29" ht="12.75">
      <c r="A45" s="28"/>
      <c r="B45" s="14"/>
      <c r="C45" s="37" t="s">
        <v>29</v>
      </c>
      <c r="D45" s="43">
        <f>COUNT(A9:A41)</f>
        <v>21</v>
      </c>
      <c r="E45" s="16"/>
      <c r="F45" s="29"/>
      <c r="G45" s="18"/>
      <c r="H45" s="19"/>
      <c r="I45" s="19"/>
      <c r="J45" s="44">
        <f>SUM(J5:J41)/2</f>
        <v>32.36666666669771</v>
      </c>
      <c r="K45" s="44">
        <f>SUM(K5:K41)/2</f>
        <v>32.36666666669771</v>
      </c>
      <c r="L45" s="21"/>
      <c r="M45" s="22"/>
      <c r="N45" s="22"/>
      <c r="O45" s="41"/>
      <c r="P45" s="23"/>
      <c r="Q45" s="43">
        <f>SUM(Q1:Q41)</f>
        <v>13</v>
      </c>
      <c r="R45" s="43">
        <f>SUM(R1:R41)</f>
        <v>10</v>
      </c>
      <c r="S45" s="43">
        <f>SUM(S1:S41)</f>
        <v>2</v>
      </c>
      <c r="T45" s="43">
        <f>SUM(T1:T41)</f>
        <v>25</v>
      </c>
      <c r="AA45" s="30"/>
      <c r="AB45" s="30"/>
      <c r="AC45" s="30"/>
    </row>
    <row r="46" spans="1:19" ht="12.75">
      <c r="A46" s="28"/>
      <c r="B46" s="14"/>
      <c r="C46" s="37"/>
      <c r="D46" s="15"/>
      <c r="E46" s="16"/>
      <c r="F46" s="29"/>
      <c r="G46" s="18"/>
      <c r="H46" s="19"/>
      <c r="I46" s="19"/>
      <c r="J46" s="15"/>
      <c r="K46" s="20"/>
      <c r="L46" s="21"/>
      <c r="M46" s="22"/>
      <c r="N46" s="22"/>
      <c r="O46" s="21"/>
      <c r="P46" s="23"/>
      <c r="Q46" s="12" t="s">
        <v>30</v>
      </c>
      <c r="R46" s="45" t="s">
        <v>21</v>
      </c>
      <c r="S46" s="12" t="s">
        <v>31</v>
      </c>
    </row>
    <row r="47" spans="1:26" ht="12.75">
      <c r="A47" s="28"/>
      <c r="B47" s="14"/>
      <c r="C47" s="37" t="s">
        <v>32</v>
      </c>
      <c r="D47" s="15">
        <f>SUM(D4:D41)/2</f>
        <v>1568.633333333244</v>
      </c>
      <c r="E47" s="46">
        <f>D47/24</f>
        <v>65.35972222221851</v>
      </c>
      <c r="F47" s="47" t="s">
        <v>33</v>
      </c>
      <c r="G47" s="18"/>
      <c r="H47" s="19"/>
      <c r="I47" s="19"/>
      <c r="J47" s="15"/>
      <c r="K47" s="20"/>
      <c r="L47" s="21"/>
      <c r="M47" s="22"/>
      <c r="N47" s="22"/>
      <c r="O47" s="21"/>
      <c r="P47" s="23"/>
      <c r="Q47" s="12">
        <f>IF($O49="Store Lost",1,"")</f>
      </c>
      <c r="T47" s="48"/>
      <c r="U47" s="30"/>
      <c r="V47" s="30"/>
      <c r="W47" s="30"/>
      <c r="X47" s="30"/>
      <c r="Y47" s="30"/>
      <c r="Z47" s="30"/>
    </row>
    <row r="48" spans="1:17" ht="12.75">
      <c r="A48" s="28"/>
      <c r="B48" s="14"/>
      <c r="C48" s="37" t="s">
        <v>34</v>
      </c>
      <c r="D48" s="15">
        <f>J45</f>
        <v>32.36666666669771</v>
      </c>
      <c r="E48" s="16" t="s">
        <v>35</v>
      </c>
      <c r="F48" s="29"/>
      <c r="G48" s="18"/>
      <c r="H48" s="19"/>
      <c r="I48" s="19"/>
      <c r="J48" s="15"/>
      <c r="K48" s="20"/>
      <c r="L48" s="21"/>
      <c r="M48" s="22"/>
      <c r="N48" s="22"/>
      <c r="O48" s="21"/>
      <c r="P48" s="23"/>
      <c r="Q48" s="12">
        <f>IF($O50="Store Lost",1,"")</f>
      </c>
    </row>
    <row r="49" spans="1:17" ht="12.75">
      <c r="A49" s="28"/>
      <c r="B49" s="14"/>
      <c r="C49" s="37" t="s">
        <v>36</v>
      </c>
      <c r="D49" s="43">
        <f>SUM(D47:D48)</f>
        <v>1600.9999999999418</v>
      </c>
      <c r="E49" s="46"/>
      <c r="F49" s="29"/>
      <c r="G49" s="18"/>
      <c r="H49" s="19"/>
      <c r="I49" s="19"/>
      <c r="J49" s="15"/>
      <c r="K49" s="20"/>
      <c r="L49" s="21"/>
      <c r="M49" s="22"/>
      <c r="N49" s="22"/>
      <c r="O49" s="21"/>
      <c r="P49" s="23"/>
      <c r="Q49" s="12" t="e">
        <f>IF(#REF!="Store Lost",1,"")</f>
        <v>#REF!</v>
      </c>
    </row>
    <row r="50" spans="1:18" ht="12.75">
      <c r="A50" s="28"/>
      <c r="B50" s="14"/>
      <c r="C50" s="37"/>
      <c r="D50" s="49"/>
      <c r="E50" s="50"/>
      <c r="F50" s="29"/>
      <c r="G50" s="18"/>
      <c r="H50" s="15"/>
      <c r="I50" s="19"/>
      <c r="J50" s="15"/>
      <c r="K50" s="20"/>
      <c r="L50" s="21"/>
      <c r="M50" s="22"/>
      <c r="N50" s="22"/>
      <c r="O50" s="21"/>
      <c r="P50" s="23"/>
      <c r="Q50" s="51">
        <f>Q45+R45</f>
        <v>23</v>
      </c>
      <c r="R50" s="12">
        <f>IF($P51="Store Lost",1,"")</f>
      </c>
    </row>
    <row r="51" spans="1:18" ht="12.75">
      <c r="A51" s="28"/>
      <c r="B51" s="14"/>
      <c r="C51" s="37" t="s">
        <v>37</v>
      </c>
      <c r="D51" s="52">
        <f>IF(D43,D47/D43,D47)</f>
        <v>120.6641025640957</v>
      </c>
      <c r="E51" s="16"/>
      <c r="F51" s="29"/>
      <c r="G51" s="18"/>
      <c r="J51" s="7"/>
      <c r="K51" s="53"/>
      <c r="Q51" s="23"/>
      <c r="R51" s="12">
        <f>IF($P53="Store Lost",1,"")</f>
      </c>
    </row>
    <row r="52" spans="1:18" ht="12.75">
      <c r="A52" s="28"/>
      <c r="B52" s="14"/>
      <c r="C52" s="37" t="s">
        <v>38</v>
      </c>
      <c r="D52" s="49">
        <f>IF(D43,24/D51,0)</f>
        <v>0.19889925412780834</v>
      </c>
      <c r="E52" s="54"/>
      <c r="F52" s="55"/>
      <c r="G52" s="56"/>
      <c r="K52" s="53"/>
      <c r="Q52" s="23"/>
      <c r="R52" s="12" t="e">
        <f>NA()</f>
        <v>#N/A</v>
      </c>
    </row>
    <row r="53" spans="1:18" ht="27" customHeight="1">
      <c r="A53" s="28"/>
      <c r="B53" s="14"/>
      <c r="C53" s="37" t="s">
        <v>39</v>
      </c>
      <c r="D53" s="57">
        <f>D47/D49</f>
        <v>0.9797834686653973</v>
      </c>
      <c r="E53" s="58"/>
      <c r="F53" s="29"/>
      <c r="G53" s="18"/>
      <c r="K53" s="53"/>
      <c r="Q53" s="23"/>
      <c r="R53" s="12" t="e">
        <f>NA()</f>
        <v>#N/A</v>
      </c>
    </row>
    <row r="54" spans="1:18" ht="12.75">
      <c r="A54" s="28"/>
      <c r="B54" s="14"/>
      <c r="C54" s="14"/>
      <c r="D54" s="15"/>
      <c r="E54" s="16"/>
      <c r="F54" s="29"/>
      <c r="G54" s="18"/>
      <c r="K54" s="53"/>
      <c r="Q54" s="23"/>
      <c r="R54" s="12">
        <f aca="true" t="shared" si="9" ref="R54:R63">IF($P56="Store Lost",1,"")</f>
      </c>
    </row>
    <row r="55" spans="1:29" s="59" customFormat="1" ht="12.75">
      <c r="A55" s="28"/>
      <c r="B55" s="14"/>
      <c r="C55" s="14"/>
      <c r="D55" s="15"/>
      <c r="E55" s="16"/>
      <c r="F55" s="29"/>
      <c r="G55" s="18"/>
      <c r="H55" s="7"/>
      <c r="I55" s="7"/>
      <c r="J55" s="3"/>
      <c r="K55" s="53"/>
      <c r="L55" s="9"/>
      <c r="M55" s="10"/>
      <c r="N55" s="10"/>
      <c r="O55" s="9"/>
      <c r="P55" s="11"/>
      <c r="Q55" s="23"/>
      <c r="R55" s="12">
        <f t="shared" si="9"/>
      </c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</row>
    <row r="56" spans="1:18" ht="12.75">
      <c r="A56" s="28"/>
      <c r="B56" s="14"/>
      <c r="C56" s="14"/>
      <c r="D56" s="15"/>
      <c r="E56" s="16"/>
      <c r="F56" s="29"/>
      <c r="G56" s="18"/>
      <c r="K56" s="53"/>
      <c r="Q56" s="23"/>
      <c r="R56" s="12">
        <f t="shared" si="9"/>
      </c>
    </row>
    <row r="57" spans="1:18" ht="12.75">
      <c r="A57" s="28"/>
      <c r="B57" s="14"/>
      <c r="C57" s="14"/>
      <c r="D57" s="15"/>
      <c r="E57" s="16"/>
      <c r="F57" s="29"/>
      <c r="G57" s="18"/>
      <c r="K57" s="53"/>
      <c r="Q57" s="23"/>
      <c r="R57" s="12">
        <f t="shared" si="9"/>
      </c>
    </row>
    <row r="58" spans="1:18" ht="12.75">
      <c r="A58" s="28"/>
      <c r="B58" s="14"/>
      <c r="C58" s="14"/>
      <c r="D58" s="15"/>
      <c r="E58" s="16"/>
      <c r="F58" s="29"/>
      <c r="G58" s="18"/>
      <c r="K58" s="53"/>
      <c r="Q58" s="23"/>
      <c r="R58" s="12">
        <f t="shared" si="9"/>
      </c>
    </row>
    <row r="59" spans="1:18" ht="12.75">
      <c r="A59" s="28"/>
      <c r="B59" s="14"/>
      <c r="C59" s="14"/>
      <c r="D59" s="15"/>
      <c r="E59" s="16"/>
      <c r="F59" s="29"/>
      <c r="G59" s="18"/>
      <c r="K59" s="53"/>
      <c r="Q59" s="23"/>
      <c r="R59" s="12">
        <f t="shared" si="9"/>
      </c>
    </row>
    <row r="60" spans="1:18" ht="12.75">
      <c r="A60" s="28"/>
      <c r="B60" s="14"/>
      <c r="C60" s="14"/>
      <c r="D60" s="15"/>
      <c r="E60" s="16"/>
      <c r="F60" s="29"/>
      <c r="G60" s="18"/>
      <c r="K60" s="53"/>
      <c r="Q60" s="23"/>
      <c r="R60" s="12">
        <f t="shared" si="9"/>
      </c>
    </row>
    <row r="61" spans="1:18" ht="12.75">
      <c r="A61" s="28"/>
      <c r="B61" s="14"/>
      <c r="C61" s="14"/>
      <c r="D61" s="15"/>
      <c r="E61" s="16"/>
      <c r="F61" s="29"/>
      <c r="G61" s="18"/>
      <c r="K61" s="53"/>
      <c r="Q61" s="23"/>
      <c r="R61" s="12">
        <f t="shared" si="9"/>
      </c>
    </row>
    <row r="62" spans="1:18" ht="12.75">
      <c r="A62" s="28"/>
      <c r="B62" s="14"/>
      <c r="C62" s="14"/>
      <c r="D62" s="15"/>
      <c r="E62" s="16"/>
      <c r="F62" s="29"/>
      <c r="G62" s="18"/>
      <c r="K62" s="53"/>
      <c r="Q62" s="23"/>
      <c r="R62" s="12">
        <f t="shared" si="9"/>
      </c>
    </row>
    <row r="63" spans="1:18" ht="12.75">
      <c r="A63" s="28"/>
      <c r="B63" s="14"/>
      <c r="C63" s="14"/>
      <c r="D63" s="15"/>
      <c r="E63" s="16"/>
      <c r="F63" s="29"/>
      <c r="G63" s="18"/>
      <c r="K63" s="53"/>
      <c r="Q63" s="23"/>
      <c r="R63" s="12">
        <f t="shared" si="9"/>
      </c>
    </row>
    <row r="64" spans="1:29" s="60" customFormat="1" ht="12.75">
      <c r="A64" s="28"/>
      <c r="B64" s="14"/>
      <c r="C64" s="14"/>
      <c r="D64" s="15"/>
      <c r="E64" s="16"/>
      <c r="F64" s="29"/>
      <c r="G64" s="18"/>
      <c r="H64" s="7"/>
      <c r="I64" s="7"/>
      <c r="J64" s="3"/>
      <c r="K64" s="53"/>
      <c r="L64" s="9"/>
      <c r="M64" s="10"/>
      <c r="N64" s="10"/>
      <c r="O64" s="9"/>
      <c r="P64" s="11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</row>
    <row r="65" spans="1:29" s="30" customFormat="1" ht="12.75">
      <c r="A65" s="28"/>
      <c r="B65" s="14"/>
      <c r="C65" s="14"/>
      <c r="D65" s="15"/>
      <c r="E65" s="16"/>
      <c r="F65" s="29"/>
      <c r="G65" s="18"/>
      <c r="H65" s="7"/>
      <c r="I65" s="7"/>
      <c r="J65" s="3"/>
      <c r="K65" s="53"/>
      <c r="L65" s="9"/>
      <c r="M65" s="10"/>
      <c r="N65" s="10"/>
      <c r="O65" s="9"/>
      <c r="P65" s="11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59"/>
      <c r="AB65" s="59"/>
      <c r="AC65" s="59"/>
    </row>
    <row r="66" spans="1:16" ht="12.75">
      <c r="A66" s="28"/>
      <c r="B66" s="14"/>
      <c r="C66" s="14"/>
      <c r="D66" s="15"/>
      <c r="E66" s="16"/>
      <c r="F66" s="29"/>
      <c r="G66" s="18"/>
      <c r="H66" s="19"/>
      <c r="I66" s="19"/>
      <c r="J66" s="15"/>
      <c r="K66" s="20"/>
      <c r="L66" s="21"/>
      <c r="M66" s="22"/>
      <c r="N66" s="22"/>
      <c r="O66" s="21"/>
      <c r="P66" s="23"/>
    </row>
    <row r="67" spans="1:26" ht="12.75">
      <c r="A67" s="28"/>
      <c r="B67" s="14"/>
      <c r="C67" s="14"/>
      <c r="E67" s="16"/>
      <c r="F67" s="29"/>
      <c r="G67" s="18"/>
      <c r="H67" s="19"/>
      <c r="I67" s="19"/>
      <c r="L67" s="21"/>
      <c r="M67" s="22"/>
      <c r="N67" s="22"/>
      <c r="O67" s="21"/>
      <c r="P67" s="23"/>
      <c r="U67" s="59"/>
      <c r="V67" s="59"/>
      <c r="W67" s="59"/>
      <c r="X67" s="59"/>
      <c r="Y67" s="59"/>
      <c r="Z67" s="59"/>
    </row>
    <row r="68" spans="1:16" ht="12.75">
      <c r="A68" s="28"/>
      <c r="B68" s="14"/>
      <c r="C68" s="14"/>
      <c r="E68" s="16"/>
      <c r="F68" s="29"/>
      <c r="G68" s="18"/>
      <c r="H68" s="19"/>
      <c r="I68" s="19"/>
      <c r="L68" s="21"/>
      <c r="M68" s="22"/>
      <c r="N68" s="22"/>
      <c r="O68" s="21"/>
      <c r="P68" s="23"/>
    </row>
    <row r="69" spans="1:16" ht="12.75">
      <c r="A69" s="28"/>
      <c r="B69" s="14"/>
      <c r="C69" s="14"/>
      <c r="E69" s="16"/>
      <c r="F69" s="29"/>
      <c r="G69" s="18"/>
      <c r="H69" s="19"/>
      <c r="I69" s="19"/>
      <c r="L69" s="21"/>
      <c r="M69" s="22"/>
      <c r="N69" s="22"/>
      <c r="O69" s="21"/>
      <c r="P69" s="23"/>
    </row>
    <row r="70" spans="1:16" ht="12.75">
      <c r="A70" s="28"/>
      <c r="B70" s="14"/>
      <c r="C70" s="14"/>
      <c r="F70" s="29"/>
      <c r="G70" s="18"/>
      <c r="H70" s="19"/>
      <c r="I70" s="19"/>
      <c r="L70" s="21"/>
      <c r="M70" s="22"/>
      <c r="N70" s="22"/>
      <c r="O70" s="21"/>
      <c r="P70" s="23"/>
    </row>
    <row r="71" spans="1:20" ht="12.75">
      <c r="A71" s="28"/>
      <c r="B71" s="14"/>
      <c r="C71" s="14"/>
      <c r="F71" s="29"/>
      <c r="G71" s="18"/>
      <c r="H71" s="19"/>
      <c r="I71" s="19"/>
      <c r="L71" s="21"/>
      <c r="M71" s="22"/>
      <c r="N71" s="22"/>
      <c r="O71" s="21"/>
      <c r="P71" s="23"/>
      <c r="R71" s="59"/>
      <c r="S71" s="59"/>
      <c r="T71" s="59"/>
    </row>
    <row r="72" spans="2:16" ht="12.75">
      <c r="B72" s="14"/>
      <c r="C72" s="14"/>
      <c r="F72" s="29"/>
      <c r="G72" s="18"/>
      <c r="H72" s="19"/>
      <c r="I72" s="19"/>
      <c r="L72" s="21"/>
      <c r="M72" s="22"/>
      <c r="N72" s="22"/>
      <c r="O72" s="21"/>
      <c r="P72" s="23"/>
    </row>
    <row r="73" spans="2:17" ht="12.75">
      <c r="B73" s="14"/>
      <c r="C73" s="14"/>
      <c r="F73" s="29"/>
      <c r="G73" s="18"/>
      <c r="H73" s="19"/>
      <c r="I73" s="19"/>
      <c r="L73" s="21"/>
      <c r="M73" s="22"/>
      <c r="N73" s="22"/>
      <c r="O73" s="21"/>
      <c r="P73" s="23"/>
      <c r="Q73" s="12">
        <f aca="true" t="shared" si="10" ref="Q73:Q104">IF($O75="Store Lost",1,"")</f>
      </c>
    </row>
    <row r="74" spans="2:29" ht="12.75">
      <c r="B74" s="14"/>
      <c r="C74" s="14"/>
      <c r="F74" s="29"/>
      <c r="G74" s="18"/>
      <c r="H74" s="19"/>
      <c r="I74" s="19"/>
      <c r="L74" s="21"/>
      <c r="M74" s="22"/>
      <c r="N74" s="22"/>
      <c r="O74" s="21"/>
      <c r="P74" s="23"/>
      <c r="Q74" s="12">
        <f t="shared" si="10"/>
      </c>
      <c r="AA74" s="60"/>
      <c r="AB74" s="60"/>
      <c r="AC74" s="60"/>
    </row>
    <row r="75" spans="2:29" ht="12.75">
      <c r="B75" s="14"/>
      <c r="C75" s="14"/>
      <c r="Q75" s="12">
        <f t="shared" si="10"/>
      </c>
      <c r="AA75" s="30"/>
      <c r="AB75" s="30"/>
      <c r="AC75" s="30"/>
    </row>
    <row r="76" spans="17:26" ht="12.75">
      <c r="Q76" s="12">
        <f t="shared" si="10"/>
      </c>
      <c r="U76" s="60"/>
      <c r="V76" s="60"/>
      <c r="W76" s="60"/>
      <c r="X76" s="60"/>
      <c r="Y76" s="60"/>
      <c r="Z76" s="60"/>
    </row>
    <row r="77" spans="17:26" ht="12.75">
      <c r="Q77" s="12">
        <f t="shared" si="10"/>
      </c>
      <c r="U77" s="30"/>
      <c r="V77" s="30"/>
      <c r="W77" s="30"/>
      <c r="X77" s="30"/>
      <c r="Y77" s="30"/>
      <c r="Z77" s="30"/>
    </row>
    <row r="78" spans="1:29" s="59" customFormat="1" ht="12.75">
      <c r="A78" s="1"/>
      <c r="B78" s="2"/>
      <c r="C78" s="2"/>
      <c r="D78" s="3"/>
      <c r="E78" s="4"/>
      <c r="F78" s="5"/>
      <c r="G78" s="6"/>
      <c r="H78" s="7"/>
      <c r="I78" s="7"/>
      <c r="J78" s="3"/>
      <c r="K78" s="8"/>
      <c r="L78" s="9"/>
      <c r="M78" s="10"/>
      <c r="N78" s="10"/>
      <c r="O78" s="9"/>
      <c r="P78" s="11"/>
      <c r="Q78" s="12">
        <f t="shared" si="10"/>
      </c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</row>
    <row r="79" ht="12.75">
      <c r="Q79" s="12">
        <f t="shared" si="10"/>
      </c>
    </row>
    <row r="80" spans="17:20" ht="12.75">
      <c r="Q80" s="12">
        <f t="shared" si="10"/>
      </c>
      <c r="R80" s="60"/>
      <c r="S80" s="60"/>
      <c r="T80" s="60"/>
    </row>
    <row r="81" spans="17:20" ht="12.75">
      <c r="Q81" s="12">
        <f t="shared" si="10"/>
      </c>
      <c r="R81" s="30"/>
      <c r="S81" s="30"/>
      <c r="T81" s="30"/>
    </row>
    <row r="82" ht="12.75">
      <c r="Q82" s="12">
        <f t="shared" si="10"/>
      </c>
    </row>
    <row r="83" ht="12.75">
      <c r="Q83" s="12">
        <f t="shared" si="10"/>
      </c>
    </row>
    <row r="84" ht="12.75">
      <c r="Q84" s="12">
        <f t="shared" si="10"/>
      </c>
    </row>
    <row r="85" ht="12.75">
      <c r="Q85" s="12">
        <f t="shared" si="10"/>
      </c>
    </row>
    <row r="86" ht="12.75">
      <c r="Q86" s="12">
        <f t="shared" si="10"/>
      </c>
    </row>
    <row r="87" ht="12.75">
      <c r="Q87" s="12">
        <f t="shared" si="10"/>
      </c>
    </row>
    <row r="88" spans="17:29" ht="12.75">
      <c r="Q88" s="12">
        <f t="shared" si="10"/>
      </c>
      <c r="AA88" s="59"/>
      <c r="AB88" s="59"/>
      <c r="AC88" s="59"/>
    </row>
    <row r="89" ht="12.75">
      <c r="Q89" s="12">
        <f t="shared" si="10"/>
      </c>
    </row>
    <row r="90" spans="17:26" ht="12.75">
      <c r="Q90" s="12">
        <f t="shared" si="10"/>
      </c>
      <c r="U90" s="59"/>
      <c r="V90" s="59"/>
      <c r="W90" s="59"/>
      <c r="X90" s="59"/>
      <c r="Y90" s="59"/>
      <c r="Z90" s="59"/>
    </row>
    <row r="91" spans="1:29" s="59" customFormat="1" ht="12.75">
      <c r="A91" s="1"/>
      <c r="B91" s="2"/>
      <c r="C91" s="2"/>
      <c r="D91" s="3"/>
      <c r="E91" s="4"/>
      <c r="F91" s="5"/>
      <c r="G91" s="6"/>
      <c r="H91" s="7"/>
      <c r="I91" s="7"/>
      <c r="J91" s="3"/>
      <c r="K91" s="8"/>
      <c r="L91" s="9"/>
      <c r="M91" s="10"/>
      <c r="N91" s="10"/>
      <c r="O91" s="9"/>
      <c r="P91" s="11"/>
      <c r="Q91" s="12">
        <f t="shared" si="10"/>
      </c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</row>
    <row r="92" spans="1:29" s="30" customFormat="1" ht="12.75">
      <c r="A92" s="1"/>
      <c r="B92" s="2"/>
      <c r="C92" s="2"/>
      <c r="D92" s="3"/>
      <c r="E92" s="4"/>
      <c r="F92" s="5"/>
      <c r="G92" s="6"/>
      <c r="H92" s="7"/>
      <c r="I92" s="7"/>
      <c r="J92" s="3"/>
      <c r="K92" s="8"/>
      <c r="L92" s="9"/>
      <c r="M92" s="10"/>
      <c r="N92" s="10"/>
      <c r="O92" s="9"/>
      <c r="P92" s="11"/>
      <c r="Q92" s="12">
        <f t="shared" si="10"/>
      </c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</row>
    <row r="93" spans="1:29" s="59" customFormat="1" ht="12.75">
      <c r="A93" s="1"/>
      <c r="B93" s="2"/>
      <c r="C93" s="2"/>
      <c r="D93" s="3"/>
      <c r="E93" s="4"/>
      <c r="F93" s="5"/>
      <c r="G93" s="6"/>
      <c r="H93" s="7"/>
      <c r="I93" s="7"/>
      <c r="J93" s="3"/>
      <c r="K93" s="8"/>
      <c r="L93" s="9"/>
      <c r="M93" s="10"/>
      <c r="N93" s="10"/>
      <c r="O93" s="9"/>
      <c r="P93" s="11"/>
      <c r="Q93" s="12">
        <f t="shared" si="10"/>
      </c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</row>
    <row r="94" spans="17:20" ht="12.75">
      <c r="Q94" s="12">
        <f t="shared" si="10"/>
      </c>
      <c r="R94" s="59"/>
      <c r="S94" s="59"/>
      <c r="T94" s="59"/>
    </row>
    <row r="95" ht="12.75">
      <c r="Q95" s="12">
        <f t="shared" si="10"/>
      </c>
    </row>
    <row r="96" ht="12.75">
      <c r="Q96" s="12">
        <f t="shared" si="10"/>
      </c>
    </row>
    <row r="97" ht="12.75">
      <c r="Q97" s="12">
        <f t="shared" si="10"/>
      </c>
    </row>
    <row r="98" ht="12.75">
      <c r="Q98" s="12">
        <f t="shared" si="10"/>
      </c>
    </row>
    <row r="99" ht="12.75">
      <c r="Q99" s="12">
        <f t="shared" si="10"/>
      </c>
    </row>
    <row r="100" ht="12.75">
      <c r="Q100" s="12">
        <f t="shared" si="10"/>
      </c>
    </row>
    <row r="101" spans="17:29" ht="12.75">
      <c r="Q101" s="12">
        <f t="shared" si="10"/>
      </c>
      <c r="AA101" s="59"/>
      <c r="AB101" s="59"/>
      <c r="AC101" s="59"/>
    </row>
    <row r="102" spans="17:29" ht="12.75">
      <c r="Q102" s="12">
        <f t="shared" si="10"/>
      </c>
      <c r="AA102" s="30"/>
      <c r="AB102" s="30"/>
      <c r="AC102" s="30"/>
    </row>
    <row r="103" spans="17:29" ht="12.75">
      <c r="Q103" s="12">
        <f t="shared" si="10"/>
      </c>
      <c r="U103" s="59"/>
      <c r="V103" s="59"/>
      <c r="W103" s="59"/>
      <c r="X103" s="59"/>
      <c r="Y103" s="59"/>
      <c r="Z103" s="59"/>
      <c r="AA103" s="59"/>
      <c r="AB103" s="59"/>
      <c r="AC103" s="59"/>
    </row>
    <row r="104" spans="17:26" ht="12.75">
      <c r="Q104" s="12">
        <f t="shared" si="10"/>
      </c>
      <c r="U104" s="30"/>
      <c r="V104" s="30"/>
      <c r="W104" s="30"/>
      <c r="X104" s="30"/>
      <c r="Y104" s="30"/>
      <c r="Z104" s="30"/>
    </row>
    <row r="105" spans="17:26" ht="12.75">
      <c r="Q105" s="12">
        <f aca="true" t="shared" si="11" ref="Q105:Q130">IF($O107="Store Lost",1,"")</f>
      </c>
      <c r="U105" s="59"/>
      <c r="V105" s="59"/>
      <c r="W105" s="59"/>
      <c r="X105" s="59"/>
      <c r="Y105" s="59"/>
      <c r="Z105" s="59"/>
    </row>
    <row r="106" ht="12.75">
      <c r="Q106" s="12">
        <f t="shared" si="11"/>
      </c>
    </row>
    <row r="107" spans="17:20" ht="12.75">
      <c r="Q107" s="12">
        <f t="shared" si="11"/>
      </c>
      <c r="R107" s="59"/>
      <c r="S107" s="59"/>
      <c r="T107" s="59"/>
    </row>
    <row r="108" spans="17:20" ht="12.75">
      <c r="Q108" s="12">
        <f t="shared" si="11"/>
      </c>
      <c r="R108" s="30"/>
      <c r="S108" s="30"/>
      <c r="T108" s="30"/>
    </row>
    <row r="109" spans="17:20" ht="12.75">
      <c r="Q109" s="12">
        <f t="shared" si="11"/>
      </c>
      <c r="R109" s="59"/>
      <c r="S109" s="59"/>
      <c r="T109" s="59"/>
    </row>
    <row r="110" ht="12.75">
      <c r="Q110" s="12">
        <f t="shared" si="11"/>
      </c>
    </row>
    <row r="111" ht="12.75">
      <c r="Q111" s="12">
        <f t="shared" si="11"/>
      </c>
    </row>
    <row r="112" ht="12.75">
      <c r="Q112" s="12">
        <f t="shared" si="11"/>
      </c>
    </row>
    <row r="113" ht="12.75">
      <c r="Q113" s="12">
        <f t="shared" si="11"/>
      </c>
    </row>
    <row r="114" spans="1:29" s="59" customFormat="1" ht="12.75">
      <c r="A114" s="1"/>
      <c r="B114" s="2"/>
      <c r="C114" s="2"/>
      <c r="D114" s="3"/>
      <c r="E114" s="4"/>
      <c r="F114" s="5"/>
      <c r="G114" s="6"/>
      <c r="H114" s="7"/>
      <c r="I114" s="7"/>
      <c r="J114" s="3"/>
      <c r="K114" s="8"/>
      <c r="L114" s="9"/>
      <c r="M114" s="10"/>
      <c r="N114" s="10"/>
      <c r="O114" s="9"/>
      <c r="P114" s="11"/>
      <c r="Q114" s="12">
        <f t="shared" si="11"/>
      </c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</row>
    <row r="115" ht="12.75">
      <c r="Q115" s="12">
        <f t="shared" si="11"/>
      </c>
    </row>
    <row r="116" ht="12.75">
      <c r="Q116" s="12">
        <f t="shared" si="11"/>
      </c>
    </row>
    <row r="117" ht="12.75">
      <c r="Q117" s="12">
        <f t="shared" si="11"/>
      </c>
    </row>
    <row r="118" ht="12.75">
      <c r="Q118" s="12">
        <f t="shared" si="11"/>
      </c>
    </row>
    <row r="119" ht="12.75">
      <c r="Q119" s="12">
        <f t="shared" si="11"/>
      </c>
    </row>
    <row r="120" ht="12.75">
      <c r="Q120" s="12">
        <f t="shared" si="11"/>
      </c>
    </row>
    <row r="121" ht="12.75">
      <c r="Q121" s="12">
        <f t="shared" si="11"/>
      </c>
    </row>
    <row r="122" ht="12.75">
      <c r="Q122" s="12">
        <f t="shared" si="11"/>
      </c>
    </row>
    <row r="123" ht="12.75">
      <c r="Q123" s="12">
        <f t="shared" si="11"/>
      </c>
    </row>
    <row r="124" spans="17:29" ht="12.75">
      <c r="Q124" s="12">
        <f t="shared" si="11"/>
      </c>
      <c r="AA124" s="59"/>
      <c r="AB124" s="59"/>
      <c r="AC124" s="59"/>
    </row>
    <row r="125" ht="12.75">
      <c r="Q125" s="12">
        <f t="shared" si="11"/>
      </c>
    </row>
    <row r="126" spans="17:26" ht="12.75">
      <c r="Q126" s="12">
        <f t="shared" si="11"/>
      </c>
      <c r="U126" s="59"/>
      <c r="V126" s="59"/>
      <c r="W126" s="59"/>
      <c r="X126" s="59"/>
      <c r="Y126" s="59"/>
      <c r="Z126" s="59"/>
    </row>
    <row r="127" ht="12.75">
      <c r="Q127" s="12">
        <f t="shared" si="11"/>
      </c>
    </row>
    <row r="128" ht="12.75">
      <c r="Q128" s="12">
        <f t="shared" si="11"/>
      </c>
    </row>
    <row r="129" ht="12.75">
      <c r="Q129" s="12">
        <f t="shared" si="11"/>
      </c>
    </row>
    <row r="130" spans="17:20" ht="12.75">
      <c r="Q130" s="12">
        <f t="shared" si="11"/>
      </c>
      <c r="R130" s="59"/>
      <c r="S130" s="59"/>
      <c r="T130" s="59"/>
    </row>
    <row r="134" ht="12.75">
      <c r="Q134" s="12">
        <f>COUNT(Q41:Q130)</f>
        <v>2</v>
      </c>
    </row>
  </sheetData>
  <sheetProtection/>
  <mergeCells count="1">
    <mergeCell ref="A2:I2"/>
  </mergeCells>
  <printOptions/>
  <pageMargins left="0" right="0" top="0" bottom="0.15" header="0.25" footer="0.15"/>
  <pageSetup fitToHeight="0" fitToWidth="1" horizontalDpi="300" verticalDpi="300" orientation="landscape" paperSize="3" scale="85" r:id="rId2"/>
  <headerFooter alignWithMargins="0">
    <oddFooter>&amp;RUpdated &amp;D</oddFooter>
  </headerFooter>
  <rowBreaks count="1" manualBreakCount="1">
    <brk id="7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T44"/>
  <sheetViews>
    <sheetView zoomScale="75" zoomScaleNormal="75" zoomScalePageLayoutView="0" workbookViewId="0" topLeftCell="A8">
      <selection activeCell="A23" sqref="A23"/>
    </sheetView>
  </sheetViews>
  <sheetFormatPr defaultColWidth="9.140625" defaultRowHeight="12.75"/>
  <cols>
    <col min="1" max="1" width="21.28125" style="0" customWidth="1"/>
    <col min="2" max="2" width="18.8515625" style="0" customWidth="1"/>
    <col min="3" max="7" width="10.00390625" style="0" customWidth="1"/>
    <col min="8" max="8" width="11.57421875" style="0" customWidth="1"/>
    <col min="9" max="11" width="13.8515625" style="0" customWidth="1"/>
    <col min="12" max="13" width="11.57421875" style="0" customWidth="1"/>
    <col min="14" max="14" width="22.28125" style="0" customWidth="1"/>
    <col min="15" max="15" width="12.00390625" style="0" customWidth="1"/>
    <col min="16" max="17" width="22.28125" style="0" customWidth="1"/>
    <col min="18" max="18" width="12.00390625" style="0" customWidth="1"/>
    <col min="19" max="20" width="22.28125" style="0" customWidth="1"/>
    <col min="21" max="21" width="4.00390625" style="0" customWidth="1"/>
    <col min="22" max="23" width="22.28125" style="0" customWidth="1"/>
    <col min="24" max="24" width="12.00390625" style="0" customWidth="1"/>
    <col min="25" max="26" width="21.140625" style="0" customWidth="1"/>
    <col min="27" max="27" width="4.00390625" style="0" customWidth="1"/>
    <col min="28" max="29" width="21.140625" style="0" bestFit="1" customWidth="1"/>
    <col min="30" max="30" width="4.421875" style="0" customWidth="1"/>
    <col min="31" max="32" width="21.140625" style="0" bestFit="1" customWidth="1"/>
    <col min="33" max="33" width="5.00390625" style="0" customWidth="1"/>
    <col min="34" max="35" width="21.140625" style="0" bestFit="1" customWidth="1"/>
    <col min="36" max="36" width="10.28125" style="0" bestFit="1" customWidth="1"/>
  </cols>
  <sheetData>
    <row r="3" spans="1:7" ht="12.75">
      <c r="A3" s="172"/>
      <c r="B3" s="140" t="s">
        <v>14</v>
      </c>
      <c r="C3" s="141"/>
      <c r="D3" s="141"/>
      <c r="E3" s="141"/>
      <c r="F3" s="141"/>
      <c r="G3" s="142"/>
    </row>
    <row r="4" spans="1:7" ht="12.75">
      <c r="A4" s="140" t="s">
        <v>40</v>
      </c>
      <c r="B4" s="139" t="s">
        <v>22</v>
      </c>
      <c r="C4" s="143" t="s">
        <v>23</v>
      </c>
      <c r="D4" s="143" t="s">
        <v>67</v>
      </c>
      <c r="E4" s="143" t="s">
        <v>24</v>
      </c>
      <c r="F4" s="143" t="s">
        <v>74</v>
      </c>
      <c r="G4" s="144" t="s">
        <v>59</v>
      </c>
    </row>
    <row r="5" spans="1:7" ht="12.75">
      <c r="A5" s="139" t="s">
        <v>41</v>
      </c>
      <c r="B5" s="145">
        <v>0</v>
      </c>
      <c r="C5" s="146">
        <v>0</v>
      </c>
      <c r="D5" s="146">
        <v>1</v>
      </c>
      <c r="E5" s="146">
        <v>0</v>
      </c>
      <c r="F5" s="146">
        <v>1</v>
      </c>
      <c r="G5" s="147">
        <v>2</v>
      </c>
    </row>
    <row r="6" spans="1:7" ht="12.75">
      <c r="A6" s="148" t="s">
        <v>42</v>
      </c>
      <c r="B6" s="149">
        <v>2</v>
      </c>
      <c r="C6" s="74">
        <v>9</v>
      </c>
      <c r="D6" s="74">
        <v>1</v>
      </c>
      <c r="E6" s="74">
        <v>1</v>
      </c>
      <c r="F6" s="74">
        <v>0</v>
      </c>
      <c r="G6" s="150">
        <v>13</v>
      </c>
    </row>
    <row r="7" spans="1:7" ht="12.75">
      <c r="A7" s="151" t="s">
        <v>65</v>
      </c>
      <c r="B7" s="153">
        <v>2.166666666744277</v>
      </c>
      <c r="C7" s="154">
        <v>11.833333333139308</v>
      </c>
      <c r="D7" s="152">
        <v>1.4333333332906477</v>
      </c>
      <c r="E7" s="152">
        <v>16.000000000116415</v>
      </c>
      <c r="F7" s="152">
        <v>0.933333333407063</v>
      </c>
      <c r="G7" s="155">
        <v>32.36666666669771</v>
      </c>
    </row>
    <row r="12" ht="13.5" thickBot="1"/>
    <row r="13" spans="2:20" ht="12.75">
      <c r="B13" s="61" t="s">
        <v>23</v>
      </c>
      <c r="C13" s="62" t="s">
        <v>45</v>
      </c>
      <c r="D13" s="62" t="s">
        <v>22</v>
      </c>
      <c r="E13" s="62" t="s">
        <v>46</v>
      </c>
      <c r="F13" s="62" t="s">
        <v>47</v>
      </c>
      <c r="G13" s="62" t="s">
        <v>48</v>
      </c>
      <c r="H13" s="62" t="s">
        <v>49</v>
      </c>
      <c r="I13" s="171" t="s">
        <v>70</v>
      </c>
      <c r="J13" s="62" t="s">
        <v>50</v>
      </c>
      <c r="K13" s="62" t="s">
        <v>51</v>
      </c>
      <c r="L13" s="62" t="s">
        <v>52</v>
      </c>
      <c r="M13" s="62" t="s">
        <v>53</v>
      </c>
      <c r="N13" s="62" t="s">
        <v>54</v>
      </c>
      <c r="O13" s="62" t="s">
        <v>55</v>
      </c>
      <c r="P13" s="62" t="s">
        <v>56</v>
      </c>
      <c r="Q13" s="63" t="s">
        <v>57</v>
      </c>
      <c r="R13" s="64" t="s">
        <v>58</v>
      </c>
      <c r="S13" s="64" t="s">
        <v>59</v>
      </c>
      <c r="T13" s="65" t="s">
        <v>60</v>
      </c>
    </row>
    <row r="15" spans="1:20" s="69" customFormat="1" ht="12.75">
      <c r="A15" s="134" t="s">
        <v>83</v>
      </c>
      <c r="B15" s="67">
        <f>IF(B17,SUM(B17/B26),"")</f>
        <v>0.007391213824571979</v>
      </c>
      <c r="C15" s="67">
        <f>IF(C17,SUM(C17/B26),"")</f>
      </c>
      <c r="D15" s="67">
        <f>IF(D17,SUM(D17/B26),"")</f>
        <v>0.0013533208411894788</v>
      </c>
      <c r="E15" s="67">
        <f>IF(E17,SUM(E17/B26),"")</f>
      </c>
      <c r="F15" s="67"/>
      <c r="G15" s="67">
        <f>IF(G17,SUM(G17/B26),"")</f>
      </c>
      <c r="H15" s="67">
        <f>IF(H17,SUM(H17/B26),"")</f>
        <v>0.009993753903883197</v>
      </c>
      <c r="I15" s="67">
        <f>IF(I17,SUM(I17/B26),"")</f>
      </c>
      <c r="J15" s="67">
        <f>IF(J17,SUM(J17/B26),"")</f>
        <v>0.0005829689777683304</v>
      </c>
      <c r="K15" s="67" t="e">
        <f>IF(K17,SUM(K17/C26),"")</f>
        <v>#DIV/0!</v>
      </c>
      <c r="L15" s="67"/>
      <c r="M15" s="67">
        <f>IF(M17,SUM(M17/B26),"")</f>
      </c>
      <c r="N15" s="67"/>
      <c r="O15" s="67"/>
      <c r="P15" s="67">
        <f>IF(Q17,SUM(Q17/C26),"")</f>
      </c>
      <c r="Q15" s="67">
        <f>IF(Q17,SUM(Q17/B26),"")</f>
      </c>
      <c r="R15" s="67"/>
      <c r="S15" s="67">
        <f>IF(S17,SUM(S17/B26),"")</f>
        <v>0.02021653133460268</v>
      </c>
      <c r="T15" s="68">
        <f>IF(T17,SUM(T17/M13),"")</f>
      </c>
    </row>
    <row r="16" spans="1:20" ht="12.75">
      <c r="A16" s="66" t="s">
        <v>61</v>
      </c>
      <c r="B16" s="70">
        <f>'[1]reliabilitySummary'!$B$7</f>
        <v>0.0054</v>
      </c>
      <c r="C16" s="70">
        <f>'[1]reliabilitySummary'!$B$8</f>
        <v>0.0012000000000000001</v>
      </c>
      <c r="D16" s="70">
        <f>'[1]reliabilitySummary'!$B$9</f>
        <v>0.0054</v>
      </c>
      <c r="E16" s="70">
        <f>'[1]reliabilitySummary'!$B$10</f>
        <v>0.003</v>
      </c>
      <c r="F16" s="70">
        <v>0.0028</v>
      </c>
      <c r="G16" s="70">
        <v>0.0028</v>
      </c>
      <c r="H16" s="70">
        <f>'[1]reliabilitySummary'!$B$16</f>
        <v>0.0036000000000000003</v>
      </c>
      <c r="I16" s="70">
        <f>'[1]reliabilitySummary'!$B$16</f>
        <v>0.0036000000000000003</v>
      </c>
      <c r="J16" s="70">
        <f>'[1]reliabilitySummary'!$B$18</f>
        <v>0.0012000000000000001</v>
      </c>
      <c r="K16" s="70">
        <f>'[1]reliabilitySummary'!$B$19</f>
        <v>0</v>
      </c>
      <c r="L16" s="70">
        <f>'[1]reliabilitySummary'!$B$20</f>
        <v>0.0006000000000000001</v>
      </c>
      <c r="M16" s="70">
        <f>'[1]reliabilitySummary'!$B$24</f>
        <v>0.0006000000000000001</v>
      </c>
      <c r="N16" s="70">
        <f>'[1]reliabilitySummary'!$B$20</f>
        <v>0.0006000000000000001</v>
      </c>
      <c r="O16" s="70">
        <f>'[1]reliabilitySummary'!$B$26</f>
        <v>0.0006000000000000001</v>
      </c>
      <c r="P16" s="70">
        <f>'[1]reliabilitySummary'!$B$27</f>
        <v>0.0018000000000000002</v>
      </c>
      <c r="Q16" s="70">
        <f>'[1]reliabilitySummary'!$B$11</f>
        <v>0.0012000000000000001</v>
      </c>
      <c r="R16" s="70">
        <f>'[1]reliabilitySummary'!$B$28</f>
        <v>0.0006000000000000001</v>
      </c>
      <c r="S16" s="70">
        <f>SUM(B16:R16)</f>
        <v>0.035</v>
      </c>
      <c r="T16" s="71"/>
    </row>
    <row r="17" spans="1:20" s="69" customFormat="1" ht="12.75">
      <c r="A17" s="66" t="s">
        <v>62</v>
      </c>
      <c r="B17" s="68">
        <f>GETPIVOTDATA("Sum of System Length",$A$3,"Group","RF")</f>
        <v>11.833333333139308</v>
      </c>
      <c r="C17" s="68"/>
      <c r="D17" s="68">
        <f>GETPIVOTDATA("Sum of System Length",$A$3,"Group","PS")</f>
        <v>2.166666666744277</v>
      </c>
      <c r="E17" s="68"/>
      <c r="F17" s="68"/>
      <c r="G17" s="68"/>
      <c r="H17" s="68">
        <f>GETPIVOTDATA("Sum of System Length",$A$3,"Group","MOM")</f>
        <v>16.000000000116415</v>
      </c>
      <c r="I17" s="68"/>
      <c r="J17" s="68">
        <f>GETPIVOTDATA("Sum of System Length",$A$3,"Group","MCR")</f>
        <v>0.933333333407063</v>
      </c>
      <c r="K17" s="68">
        <f>GETPIVOTDATA("Sum of System Length",$A$3,"Group","AOP")</f>
        <v>1.4333333332906477</v>
      </c>
      <c r="L17" s="68"/>
      <c r="M17" s="68"/>
      <c r="N17" s="68"/>
      <c r="P17" s="68"/>
      <c r="Q17" s="68"/>
      <c r="R17" s="68"/>
      <c r="S17" s="72">
        <f>SUM(B17:R17)</f>
        <v>32.36666666669771</v>
      </c>
      <c r="T17" s="73"/>
    </row>
    <row r="18" spans="1:19" ht="12.75">
      <c r="A18" s="75" t="s">
        <v>63</v>
      </c>
      <c r="B18">
        <f>GETPIVOTDATA("Sum - Store Lost",$A$3,"Group","RF")</f>
        <v>9</v>
      </c>
      <c r="D18">
        <f>GETPIVOTDATA("Sum - Store Lost",$A$3,"Group","PS")</f>
        <v>2</v>
      </c>
      <c r="H18">
        <f>GETPIVOTDATA("Sum - Store Lost",$A$3,"Group","MOM")</f>
        <v>1</v>
      </c>
      <c r="J18">
        <f>GETPIVOTDATA("Sum - Store Lost",$A$3,"Group","MCR")</f>
        <v>0</v>
      </c>
      <c r="K18">
        <f>GETPIVOTDATA("Sum - Store Lost",$A$3,"Group","AOP")</f>
        <v>1</v>
      </c>
      <c r="S18" s="72">
        <f>SUM(B18:R18)</f>
        <v>13</v>
      </c>
    </row>
    <row r="19" spans="1:18" ht="12.75">
      <c r="A19" s="75"/>
      <c r="B19" s="74"/>
      <c r="C19" s="74"/>
      <c r="D19" s="74"/>
      <c r="E19" s="74"/>
      <c r="G19" s="74"/>
      <c r="H19" s="74"/>
      <c r="L19" s="74"/>
      <c r="N19" s="74"/>
      <c r="R19" s="72"/>
    </row>
    <row r="20" spans="1:18" ht="13.5" thickBot="1">
      <c r="A20" s="75"/>
      <c r="B20" s="74"/>
      <c r="C20" s="74"/>
      <c r="D20" s="74"/>
      <c r="E20" s="74"/>
      <c r="G20" s="74"/>
      <c r="H20" s="74"/>
      <c r="L20" s="74"/>
      <c r="N20" s="74"/>
      <c r="R20" s="72"/>
    </row>
    <row r="21" spans="2:18" ht="12.75">
      <c r="B21" s="61" t="s">
        <v>23</v>
      </c>
      <c r="C21" s="62" t="s">
        <v>45</v>
      </c>
      <c r="D21" s="62" t="s">
        <v>22</v>
      </c>
      <c r="E21" s="62" t="s">
        <v>46</v>
      </c>
      <c r="F21" s="62" t="s">
        <v>47</v>
      </c>
      <c r="G21" s="62" t="s">
        <v>48</v>
      </c>
      <c r="H21" s="62" t="s">
        <v>24</v>
      </c>
      <c r="I21" s="62" t="s">
        <v>50</v>
      </c>
      <c r="J21" s="62" t="s">
        <v>51</v>
      </c>
      <c r="K21" s="62" t="s">
        <v>52</v>
      </c>
      <c r="L21" s="62" t="s">
        <v>53</v>
      </c>
      <c r="M21" s="62" t="s">
        <v>54</v>
      </c>
      <c r="N21" s="62" t="s">
        <v>55</v>
      </c>
      <c r="O21" s="62" t="s">
        <v>56</v>
      </c>
      <c r="P21" s="63" t="s">
        <v>57</v>
      </c>
      <c r="Q21" s="64" t="s">
        <v>58</v>
      </c>
      <c r="R21" s="72"/>
    </row>
    <row r="22" spans="1:18" ht="12.75">
      <c r="A22" s="134" t="s">
        <v>83</v>
      </c>
      <c r="B22" s="138">
        <f aca="true" t="shared" si="0" ref="B22:H22">B18/($B25/24)</f>
        <v>0.13769948362694423</v>
      </c>
      <c r="C22" s="95">
        <f>C18/($B25/24)</f>
        <v>0</v>
      </c>
      <c r="D22" s="77">
        <f t="shared" si="0"/>
        <v>0.03059988525043205</v>
      </c>
      <c r="E22" s="77">
        <f t="shared" si="0"/>
        <v>0</v>
      </c>
      <c r="F22" s="76">
        <f t="shared" si="0"/>
        <v>0</v>
      </c>
      <c r="G22" s="76">
        <f t="shared" si="0"/>
        <v>0</v>
      </c>
      <c r="H22" s="76">
        <f t="shared" si="0"/>
        <v>0.015299942625216025</v>
      </c>
      <c r="I22" s="77">
        <f aca="true" t="shared" si="1" ref="I22:R22">J18/($B25/24)</f>
        <v>0</v>
      </c>
      <c r="J22" s="77">
        <f t="shared" si="1"/>
        <v>0.015299942625216025</v>
      </c>
      <c r="K22" s="76">
        <f t="shared" si="1"/>
        <v>0</v>
      </c>
      <c r="L22" s="76">
        <f t="shared" si="1"/>
        <v>0</v>
      </c>
      <c r="M22" s="76">
        <f t="shared" si="1"/>
        <v>0</v>
      </c>
      <c r="N22" s="76">
        <f t="shared" si="1"/>
        <v>0</v>
      </c>
      <c r="O22" s="76">
        <f t="shared" si="1"/>
        <v>0</v>
      </c>
      <c r="P22" s="76">
        <f t="shared" si="1"/>
        <v>0</v>
      </c>
      <c r="Q22" s="76">
        <f t="shared" si="1"/>
        <v>0</v>
      </c>
      <c r="R22" s="76">
        <f t="shared" si="1"/>
        <v>0.19889925412780832</v>
      </c>
    </row>
    <row r="23" spans="1:19" ht="12.75">
      <c r="A23" s="78" t="s">
        <v>61</v>
      </c>
      <c r="B23" s="79">
        <f>'[1]reliabilitySummary'!$F$7</f>
        <v>0.12</v>
      </c>
      <c r="C23" s="79">
        <f>'[1]reliabilitySummary'!$F$8</f>
        <v>0.03</v>
      </c>
      <c r="D23" s="79">
        <v>0.12</v>
      </c>
      <c r="E23" s="79">
        <v>0.05</v>
      </c>
      <c r="F23" s="79">
        <v>0.035</v>
      </c>
      <c r="G23" s="79">
        <v>0.02</v>
      </c>
      <c r="H23" s="79">
        <v>0.06</v>
      </c>
      <c r="I23" s="79">
        <v>0.02</v>
      </c>
      <c r="J23" s="80">
        <v>0</v>
      </c>
      <c r="K23" s="80">
        <v>0.01</v>
      </c>
      <c r="L23" s="80">
        <v>0.01</v>
      </c>
      <c r="M23" s="80">
        <v>0.01</v>
      </c>
      <c r="N23" s="80">
        <v>0.01</v>
      </c>
      <c r="O23" s="80">
        <v>0.02</v>
      </c>
      <c r="P23" s="80">
        <v>0.01</v>
      </c>
      <c r="Q23" s="80">
        <v>0.02</v>
      </c>
      <c r="R23" s="80">
        <f>SUM(B23:Q23)</f>
        <v>0.545</v>
      </c>
      <c r="S23" s="81"/>
    </row>
    <row r="25" spans="1:2" ht="12.75">
      <c r="A25" s="37" t="s">
        <v>32</v>
      </c>
      <c r="B25" s="69">
        <f>'Main Data'!D47</f>
        <v>1568.633333333244</v>
      </c>
    </row>
    <row r="26" spans="1:2" ht="12.75">
      <c r="A26" s="82" t="s">
        <v>36</v>
      </c>
      <c r="B26" s="80">
        <f>'Main Data'!D49</f>
        <v>1600.9999999999418</v>
      </c>
    </row>
    <row r="30" ht="12.75">
      <c r="A30" s="83"/>
    </row>
    <row r="36" ht="12.75">
      <c r="A36" s="84" t="s">
        <v>64</v>
      </c>
    </row>
    <row r="37" spans="1:8" ht="12.75">
      <c r="A37" s="139"/>
      <c r="B37" s="141"/>
      <c r="C37" s="140" t="s">
        <v>12</v>
      </c>
      <c r="D37" s="141"/>
      <c r="E37" s="141"/>
      <c r="F37" s="141"/>
      <c r="G37" s="141"/>
      <c r="H37" s="142"/>
    </row>
    <row r="38" spans="1:8" ht="12.75">
      <c r="A38" s="140" t="s">
        <v>15</v>
      </c>
      <c r="B38" s="140" t="s">
        <v>40</v>
      </c>
      <c r="C38" s="139" t="s">
        <v>22</v>
      </c>
      <c r="D38" s="143" t="s">
        <v>23</v>
      </c>
      <c r="E38" s="143" t="s">
        <v>24</v>
      </c>
      <c r="F38" s="143" t="s">
        <v>67</v>
      </c>
      <c r="G38" s="143" t="s">
        <v>74</v>
      </c>
      <c r="H38" s="144" t="s">
        <v>59</v>
      </c>
    </row>
    <row r="39" spans="1:8" ht="12.75">
      <c r="A39" s="139" t="s">
        <v>17</v>
      </c>
      <c r="B39" s="139" t="s">
        <v>42</v>
      </c>
      <c r="C39" s="145">
        <v>2</v>
      </c>
      <c r="D39" s="146">
        <v>9</v>
      </c>
      <c r="E39" s="146">
        <v>1</v>
      </c>
      <c r="F39" s="146">
        <v>1</v>
      </c>
      <c r="G39" s="146"/>
      <c r="H39" s="147">
        <v>13</v>
      </c>
    </row>
    <row r="40" spans="1:8" ht="12.75">
      <c r="A40" s="173"/>
      <c r="B40" s="148" t="s">
        <v>41</v>
      </c>
      <c r="C40" s="149">
        <v>0</v>
      </c>
      <c r="D40" s="74">
        <v>0</v>
      </c>
      <c r="E40" s="74">
        <v>0</v>
      </c>
      <c r="F40" s="74">
        <v>0</v>
      </c>
      <c r="G40" s="74"/>
      <c r="H40" s="150">
        <v>0</v>
      </c>
    </row>
    <row r="41" spans="1:8" ht="12.75">
      <c r="A41" s="139" t="s">
        <v>72</v>
      </c>
      <c r="B41" s="139" t="s">
        <v>42</v>
      </c>
      <c r="C41" s="145"/>
      <c r="D41" s="146"/>
      <c r="E41" s="146"/>
      <c r="F41" s="146">
        <v>0</v>
      </c>
      <c r="G41" s="146">
        <v>0</v>
      </c>
      <c r="H41" s="147">
        <v>0</v>
      </c>
    </row>
    <row r="42" spans="1:8" ht="12.75">
      <c r="A42" s="173"/>
      <c r="B42" s="148" t="s">
        <v>41</v>
      </c>
      <c r="C42" s="149"/>
      <c r="D42" s="74"/>
      <c r="E42" s="74"/>
      <c r="F42" s="74">
        <v>1</v>
      </c>
      <c r="G42" s="74">
        <v>1</v>
      </c>
      <c r="H42" s="150">
        <v>2</v>
      </c>
    </row>
    <row r="43" spans="1:8" ht="12.75">
      <c r="A43" s="139" t="s">
        <v>44</v>
      </c>
      <c r="B43" s="141"/>
      <c r="C43" s="145">
        <v>2</v>
      </c>
      <c r="D43" s="146">
        <v>9</v>
      </c>
      <c r="E43" s="146">
        <v>1</v>
      </c>
      <c r="F43" s="146">
        <v>1</v>
      </c>
      <c r="G43" s="146">
        <v>0</v>
      </c>
      <c r="H43" s="147">
        <v>13</v>
      </c>
    </row>
    <row r="44" spans="1:8" ht="12.75">
      <c r="A44" s="156" t="s">
        <v>43</v>
      </c>
      <c r="B44" s="174"/>
      <c r="C44" s="157">
        <v>0</v>
      </c>
      <c r="D44" s="158">
        <v>0</v>
      </c>
      <c r="E44" s="158">
        <v>0</v>
      </c>
      <c r="F44" s="158">
        <v>1</v>
      </c>
      <c r="G44" s="158">
        <v>1</v>
      </c>
      <c r="H44" s="159">
        <v>2</v>
      </c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scale="3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:IV16384"/>
    </sheetView>
  </sheetViews>
  <sheetFormatPr defaultColWidth="9.140625" defaultRowHeight="12.75"/>
  <cols>
    <col min="20" max="20" width="12.00390625" style="0" customWidth="1"/>
    <col min="21" max="21" width="3.00390625" style="0" customWidth="1"/>
  </cols>
  <sheetData/>
  <sheetProtection/>
  <printOptions/>
  <pageMargins left="0.747916666666667" right="0.747916666666667" top="0.984027777777778" bottom="0.984027777777778" header="0.511805555555556" footer="0.511805555555556"/>
  <pageSetup horizontalDpi="300" verticalDpi="300" orientation="portrait" scale="4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60" zoomScaleNormal="60" zoomScalePageLayoutView="0" workbookViewId="0" topLeftCell="A4">
      <selection activeCell="A4" sqref="A1:IV16384"/>
    </sheetView>
  </sheetViews>
  <sheetFormatPr defaultColWidth="9.14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scale="3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Downtime</dc:subject>
  <dc:creator>Flood, Randy J.</dc:creator>
  <cp:keywords/>
  <dc:description/>
  <cp:lastModifiedBy>Flood, Randy J.</cp:lastModifiedBy>
  <cp:lastPrinted>2021-12-22T15:41:33Z</cp:lastPrinted>
  <dcterms:created xsi:type="dcterms:W3CDTF">1998-01-15T00:06:45Z</dcterms:created>
  <dcterms:modified xsi:type="dcterms:W3CDTF">2021-12-22T17:17:35Z</dcterms:modified>
  <cp:category/>
  <cp:version/>
  <cp:contentType/>
  <cp:contentStatus/>
  <cp:revision>5</cp:revision>
</cp:coreProperties>
</file>