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60" yWindow="0" windowWidth="6720" windowHeight="0" tabRatio="927" activeTab="0"/>
  </bookViews>
  <sheets>
    <sheet name="Main Data" sheetId="1" r:id="rId1"/>
    <sheet name="Stats" sheetId="2" r:id="rId2"/>
    <sheet name="Faults Per Day" sheetId="3" r:id="rId3"/>
    <sheet name="Downtime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Data'!$A$2:$P$80</definedName>
    <definedName name="Excel_BuiltIn_Print_Area_1_1_1">'Main Data'!$A$2:$P$101</definedName>
    <definedName name="Excel_BuiltIn_Print_Area_1_1_11">'Main Data'!$A$2:$P$102</definedName>
    <definedName name="Excel_BuiltIn_Print_Area_1_1_1_1">'Main Data'!$A$2:$P$88</definedName>
    <definedName name="Excel_BuiltIn_Print_Area_41">'Faults Per Day'!$A$1:$W$67</definedName>
    <definedName name="Faults_Day_of_Delivered_Beam">'Main Data'!$D$130</definedName>
    <definedName name="Mean_Time_Between_Faults">'Main Data'!$D$129</definedName>
    <definedName name="Number_of_Fills">'Main Data'!$D$122</definedName>
    <definedName name="Number_of_Intentional_Dumps">'Main Data'!$D$121</definedName>
    <definedName name="Number_of_Lost_Fills">'Main Data'!$D$120</definedName>
    <definedName name="_xlnm.Print_Area" localSheetId="2">'Faults Per Day'!$A$1:$AC$81</definedName>
    <definedName name="_xlnm.Print_Area" localSheetId="0">'Main Data'!$A$2:$P$88</definedName>
    <definedName name="_xlnm.Print_Titles" localSheetId="0">'Main Data'!$4:$4</definedName>
    <definedName name="Refill_Time">'Main Data'!$D$1</definedName>
    <definedName name="Total_Schedule_Run_Length">'Main Data'!$D$126</definedName>
    <definedName name="Total_System_Downtime">'Main Data'!$K$122</definedName>
    <definedName name="Total_User_Beam">'Main Data'!$D$124</definedName>
    <definedName name="Total_User_Downtime">'Main Data'!$D$125</definedName>
    <definedName name="User_Beam_Days">'Main Data'!$E$124</definedName>
    <definedName name="X_ray_Availability">'Main Data'!$D$131</definedName>
  </definedNames>
  <calcPr fullCalcOnLoad="1"/>
  <pivotCaches>
    <pivotCache cacheId="17" r:id="rId5"/>
  </pivotCaches>
</workbook>
</file>

<file path=xl/sharedStrings.xml><?xml version="1.0" encoding="utf-8"?>
<sst xmlns="http://schemas.openxmlformats.org/spreadsheetml/2006/main" count="366" uniqueCount="107">
  <si>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</si>
  <si>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</si>
  <si>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</si>
  <si>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</si>
  <si>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</si>
  <si>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</si>
  <si>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</si>
  <si>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</si>
  <si>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</si>
  <si>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</si>
  <si>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</si>
  <si>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</si>
  <si>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</si>
  <si>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</si>
  <si>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</si>
  <si>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</si>
  <si>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</si>
  <si>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</si>
  <si>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</si>
  <si>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</si>
  <si>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</si>
  <si>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</si>
  <si>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</si>
  <si>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</si>
  <si>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</si>
  <si>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</si>
  <si>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</si>
  <si>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</si>
  <si>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</si>
  <si>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</si>
  <si>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</si>
  <si>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</si>
  <si>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</si>
  <si>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</si>
  <si>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</si>
  <si>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</si>
  <si>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</si>
  <si>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</si>
  <si>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</si>
  <si>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</si>
  <si>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</si>
  <si>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</si>
  <si>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</si>
  <si>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</si>
  <si>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</si>
  <si>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</si>
  <si>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</si>
  <si>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</si>
  <si>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</si>
  <si>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</si>
  <si>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</si>
  <si>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</si>
  <si>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</si>
  <si>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</si>
  <si>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</si>
  <si>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</si>
  <si>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</si>
  <si>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</si>
  <si>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</si>
  <si>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</si>
  <si>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</si>
  <si>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</si>
  <si>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</si>
  <si>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</si>
  <si>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Vacuum</t>
  </si>
  <si>
    <t>CTL</t>
  </si>
  <si>
    <t>Int. Dump: End of Period</t>
  </si>
  <si>
    <t>MCR</t>
  </si>
  <si>
    <t>DIA</t>
  </si>
  <si>
    <t>Inhibits beam to user</t>
  </si>
  <si>
    <t>Downtime for Run 2022-2</t>
  </si>
  <si>
    <t>FAC</t>
  </si>
  <si>
    <t>ComEd</t>
  </si>
  <si>
    <t>RF-4 arc [RF]</t>
  </si>
  <si>
    <t>Unknown beam motion [AOP]</t>
  </si>
  <si>
    <t>29ID BPLD [AOP]</t>
  </si>
  <si>
    <t>S26-29 H2O flow [MOM]</t>
  </si>
  <si>
    <t>Swap S27A:S3</t>
  </si>
  <si>
    <t>RF-4 instability [RF]</t>
  </si>
  <si>
    <t>RF-1 cathode OI [RF]</t>
  </si>
  <si>
    <t>Pump switch</t>
  </si>
  <si>
    <t>29ID BPLD [DIA]</t>
  </si>
  <si>
    <t>13.2kV line failure [OTH]</t>
  </si>
  <si>
    <t>1ID BPLD error [DIA]</t>
  </si>
  <si>
    <t>BLDG 420 breaker [FAC]</t>
  </si>
  <si>
    <t>RF-1 kalmus trip [RF]</t>
  </si>
  <si>
    <t>S36/37 raw PS trip [PS]</t>
  </si>
  <si>
    <t>Tunnel search for B:ICT</t>
  </si>
  <si>
    <t>BPM IOC card [CTL]</t>
  </si>
  <si>
    <t>S17 H2O leak [MOM]</t>
  </si>
  <si>
    <t>34ID BPLD trip [DIA]</t>
  </si>
  <si>
    <t>S27ID BPLD trip [DIA]</t>
  </si>
  <si>
    <t>11ID BPLD trip [DIA]</t>
  </si>
  <si>
    <t>RF1 collector power intlk [RF]</t>
  </si>
  <si>
    <t>S40 cavity blower failed [MOM]</t>
  </si>
  <si>
    <t>28ID BPLD trip [DIA]</t>
  </si>
  <si>
    <t>Sum of Store Lost</t>
  </si>
  <si>
    <t>Sum of Inhibits Beam</t>
  </si>
  <si>
    <t>Sum of System</t>
  </si>
  <si>
    <t>Run 2022-2</t>
  </si>
  <si>
    <t>S29ID BPLD [DIA]</t>
  </si>
  <si>
    <t>ACIS IO Fault [SI]</t>
  </si>
  <si>
    <t>S29B:Q4 trip [PS]</t>
  </si>
  <si>
    <t>DIA rack lost power [DIA]</t>
  </si>
  <si>
    <t>SI</t>
  </si>
  <si>
    <t>ComEd power sag [OTH]</t>
  </si>
  <si>
    <t>(blank)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</si>
</sst>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8.9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37" borderId="19" xfId="0" applyNumberFormat="1" applyFont="1" applyFill="1" applyBorder="1" applyAlignment="1">
      <alignment horizontal="right"/>
    </xf>
    <xf numFmtId="164" fontId="0" fillId="37" borderId="19" xfId="0" applyNumberFormat="1" applyFont="1" applyFill="1" applyBorder="1" applyAlignment="1">
      <alignment/>
    </xf>
    <xf numFmtId="0" fontId="0" fillId="37" borderId="19" xfId="0" applyNumberFormat="1" applyFont="1" applyFill="1" applyBorder="1" applyAlignment="1" applyProtection="1">
      <alignment/>
      <protection/>
    </xf>
    <xf numFmtId="0" fontId="0" fillId="37" borderId="19" xfId="0" applyNumberFormat="1" applyFont="1" applyFill="1" applyBorder="1" applyAlignment="1" applyProtection="1">
      <alignment/>
      <protection locked="0"/>
    </xf>
    <xf numFmtId="0" fontId="0" fillId="37" borderId="19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40" borderId="20" xfId="0" applyNumberFormat="1" applyFont="1" applyFill="1" applyBorder="1" applyAlignment="1">
      <alignment horizontal="right"/>
    </xf>
    <xf numFmtId="164" fontId="0" fillId="40" borderId="21" xfId="0" applyNumberFormat="1" applyFont="1" applyFill="1" applyBorder="1" applyAlignment="1">
      <alignment horizontal="left"/>
    </xf>
    <xf numFmtId="2" fontId="0" fillId="41" borderId="20" xfId="0" applyNumberFormat="1" applyFont="1" applyFill="1" applyBorder="1" applyAlignment="1">
      <alignment horizontal="right"/>
    </xf>
    <xf numFmtId="164" fontId="0" fillId="40" borderId="20" xfId="0" applyNumberFormat="1" applyFont="1" applyFill="1" applyBorder="1" applyAlignment="1">
      <alignment/>
    </xf>
    <xf numFmtId="164" fontId="0" fillId="40" borderId="20" xfId="0" applyNumberFormat="1" applyFont="1" applyFill="1" applyBorder="1" applyAlignment="1">
      <alignment horizontal="left"/>
    </xf>
    <xf numFmtId="2" fontId="1" fillId="40" borderId="20" xfId="0" applyNumberFormat="1" applyFont="1" applyFill="1" applyBorder="1" applyAlignment="1">
      <alignment horizontal="right"/>
    </xf>
    <xf numFmtId="0" fontId="0" fillId="40" borderId="20" xfId="0" applyNumberFormat="1" applyFont="1" applyFill="1" applyBorder="1" applyAlignment="1" applyProtection="1">
      <alignment/>
      <protection/>
    </xf>
    <xf numFmtId="0" fontId="0" fillId="40" borderId="20" xfId="0" applyNumberFormat="1" applyFont="1" applyFill="1" applyBorder="1" applyAlignment="1" applyProtection="1">
      <alignment/>
      <protection locked="0"/>
    </xf>
    <xf numFmtId="0" fontId="0" fillId="40" borderId="2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19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2" fontId="0" fillId="43" borderId="19" xfId="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164" fontId="0" fillId="44" borderId="19" xfId="0" applyNumberFormat="1" applyFont="1" applyFill="1" applyBorder="1" applyAlignment="1">
      <alignment/>
    </xf>
    <xf numFmtId="2" fontId="0" fillId="45" borderId="19" xfId="0" applyNumberFormat="1" applyFont="1" applyFill="1" applyBorder="1" applyAlignment="1">
      <alignment horizontal="right"/>
    </xf>
    <xf numFmtId="0" fontId="0" fillId="44" borderId="19" xfId="0" applyNumberFormat="1" applyFont="1" applyFill="1" applyBorder="1" applyAlignment="1" applyProtection="1">
      <alignment/>
      <protection/>
    </xf>
    <xf numFmtId="0" fontId="0" fillId="44" borderId="19" xfId="0" applyNumberFormat="1" applyFont="1" applyFill="1" applyBorder="1" applyAlignment="1" applyProtection="1">
      <alignment/>
      <protection locked="0"/>
    </xf>
    <xf numFmtId="0" fontId="0" fillId="44" borderId="19" xfId="0" applyNumberFormat="1" applyFont="1" applyFill="1" applyBorder="1" applyAlignment="1" applyProtection="1">
      <alignment horizontal="left"/>
      <protection/>
    </xf>
    <xf numFmtId="164" fontId="0" fillId="46" borderId="19" xfId="0" applyNumberFormat="1" applyFont="1" applyFill="1" applyBorder="1" applyAlignment="1">
      <alignment/>
    </xf>
    <xf numFmtId="2" fontId="0" fillId="47" borderId="19" xfId="0" applyNumberFormat="1" applyFont="1" applyFill="1" applyBorder="1" applyAlignment="1">
      <alignment horizontal="right"/>
    </xf>
    <xf numFmtId="0" fontId="0" fillId="46" borderId="19" xfId="0" applyNumberFormat="1" applyFont="1" applyFill="1" applyBorder="1" applyAlignment="1" applyProtection="1">
      <alignment/>
      <protection/>
    </xf>
    <xf numFmtId="0" fontId="0" fillId="46" borderId="19" xfId="0" applyNumberFormat="1" applyFont="1" applyFill="1" applyBorder="1" applyAlignment="1" applyProtection="1">
      <alignment/>
      <protection locked="0"/>
    </xf>
    <xf numFmtId="0" fontId="0" fillId="46" borderId="19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169" fontId="1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2022-2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25"/>
          <c:w val="0.937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2022-2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0.16956410036823089</c:v>
                </c:pt>
                <c:pt idx="1">
                  <c:v>0.16956410036823089</c:v>
                </c:pt>
                <c:pt idx="2">
                  <c:v>0.030829836430587437</c:v>
                </c:pt>
                <c:pt idx="3">
                  <c:v>0.015414918215293718</c:v>
                </c:pt>
                <c:pt idx="4">
                  <c:v>0.015414918215293718</c:v>
                </c:pt>
                <c:pt idx="5">
                  <c:v>0</c:v>
                </c:pt>
                <c:pt idx="6">
                  <c:v>0</c:v>
                </c:pt>
                <c:pt idx="7">
                  <c:v>0.0770745910764686</c:v>
                </c:pt>
                <c:pt idx="8">
                  <c:v>0</c:v>
                </c:pt>
                <c:pt idx="10">
                  <c:v>0.04624475464588115</c:v>
                </c:pt>
                <c:pt idx="11">
                  <c:v>0</c:v>
                </c:pt>
                <c:pt idx="13">
                  <c:v>0.030829836430587437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At val="0"/>
        <c:auto val="1"/>
        <c:lblOffset val="100"/>
        <c:tickLblSkip val="1"/>
        <c:noMultiLvlLbl val="0"/>
      </c:catAx>
      <c:valAx>
        <c:axId val="6997870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2022-2 Downtime by System 
May 31 - September 30, 2022
 Scheduled User Time =  1648 hours     
User downtime= 89.82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9"/>
          <c:w val="0.87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2022-2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MCR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0.01002224919086587</c:v>
                </c:pt>
                <c:pt idx="1">
                  <c:v>0.0052386731391752435</c:v>
                </c:pt>
                <c:pt idx="2">
                  <c:v>0.006573624595598996</c:v>
                </c:pt>
                <c:pt idx="3">
                  <c:v>0.0026597896439942014</c:v>
                </c:pt>
                <c:pt idx="5">
                  <c:v>0</c:v>
                </c:pt>
                <c:pt idx="6">
                  <c:v>0</c:v>
                </c:pt>
                <c:pt idx="7">
                  <c:v>0.0115594660193755</c:v>
                </c:pt>
                <c:pt idx="9">
                  <c:v>0</c:v>
                </c:pt>
                <c:pt idx="10">
                  <c:v>0.0020934466018782453</c:v>
                </c:pt>
                <c:pt idx="11">
                  <c:v>0</c:v>
                </c:pt>
                <c:pt idx="12">
                  <c:v>0.001719255663418708</c:v>
                </c:pt>
                <c:pt idx="13">
                  <c:v>0.010932443365623185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MCR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0.0012000000000000001</c:v>
                </c:pt>
                <c:pt idx="10">
                  <c:v>0.0012000000000000001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0831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120</xdr:row>
      <xdr:rowOff>76200</xdr:rowOff>
    </xdr:from>
    <xdr:to>
      <xdr:col>11</xdr:col>
      <xdr:colOff>85725</xdr:colOff>
      <xdr:row>121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91650" y="216503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85725</xdr:rowOff>
    </xdr:from>
    <xdr:to>
      <xdr:col>11</xdr:col>
      <xdr:colOff>85725</xdr:colOff>
      <xdr:row>79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391650" y="14697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314325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R76" sheet="Main Data"/>
  </cacheSource>
  <cacheFields count="18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1">
        <s v="RF"/>
        <s v="AOP"/>
        <s v="MOM"/>
        <s v="PS"/>
        <m/>
        <s v="DIA"/>
        <s v="ComEd"/>
        <s v="FAC"/>
        <s v="CTL"/>
        <s v="MCR"/>
        <s v="SI"/>
      </sharedItems>
    </cacheField>
    <cacheField name="System">
      <sharedItems containsMixedTypes="0"/>
    </cacheField>
    <cacheField name="Group">
      <sharedItems containsBlank="1" containsMixedTypes="0" count="11">
        <s v="RF"/>
        <s v="AOP"/>
        <s v="MOM"/>
        <s v="PS"/>
        <m/>
        <s v="DIA"/>
        <s v="ComEd"/>
        <s v="FAC"/>
        <s v="CTL"/>
        <s v="MCR"/>
        <s v="SI"/>
      </sharedItems>
    </cacheField>
    <cacheField name="Type">
      <sharedItems containsBlank="1" containsMixedTypes="0" count="4">
        <s v="Store Lost"/>
        <m/>
        <s v="Inhibits beam to user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L8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1"/>
        <item x="6"/>
        <item x="8"/>
        <item x="5"/>
        <item x="7"/>
        <item x="9"/>
        <item x="2"/>
        <item x="3"/>
        <item x="0"/>
        <item h="1" x="4"/>
        <item x="1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dataFields count="3">
    <dataField name="Sum of Store Lost" fld="14" baseField="11" baseItem="0"/>
    <dataField name="Sum of Inhibits Beam" fld="16" baseField="11" baseItem="0"/>
    <dataField name="Sum of System" fld="8" baseField="11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M45" firstHeaderRow="1" firstDataRow="2" firstDataCol="2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1">
        <item h="1" x="4"/>
        <item x="3"/>
        <item x="0"/>
        <item x="1"/>
        <item x="2"/>
        <item x="5"/>
        <item x="6"/>
        <item x="7"/>
        <item x="8"/>
        <item x="9"/>
        <item x="10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1"/>
        <item x="0"/>
        <item x="2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2"/>
    <field x="-2"/>
  </rowFields>
  <rowItems count="8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9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2">
    <dataField name="Sum - Store Lost" fld="14" baseField="0" baseItem="0"/>
    <dataField name="Sum - Inhibits Beam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tabSelected="1" zoomScaleSheetLayoutView="110" zoomScalePageLayoutView="0" workbookViewId="0" topLeftCell="A1">
      <pane ySplit="4" topLeftCell="A7" activePane="bottomLeft" state="frozen"/>
      <selection pane="topLeft" activeCell="A1" sqref="A1"/>
      <selection pane="bottomLeft" activeCell="D62" sqref="D62"/>
    </sheetView>
  </sheetViews>
  <sheetFormatPr defaultColWidth="9.00390625" defaultRowHeight="12.75"/>
  <cols>
    <col min="1" max="1" width="6.7109375" style="1" customWidth="1"/>
    <col min="2" max="2" width="17.28125" style="2" customWidth="1"/>
    <col min="3" max="3" width="16.57421875" style="2" customWidth="1"/>
    <col min="4" max="4" width="9.28125" style="3" customWidth="1"/>
    <col min="5" max="5" width="27.140625" style="4" customWidth="1"/>
    <col min="6" max="6" width="15.140625" style="5" customWidth="1"/>
    <col min="7" max="7" width="14.7109375" style="6" customWidth="1"/>
    <col min="8" max="8" width="9.7109375" style="7" customWidth="1"/>
    <col min="9" max="9" width="9.00390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28.28125" style="10" customWidth="1"/>
    <col min="14" max="14" width="28.00390625" style="10" customWidth="1"/>
    <col min="15" max="15" width="7.140625" style="9" customWidth="1"/>
    <col min="16" max="16" width="7.42187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18" s="30" customFormat="1" ht="66.75" customHeight="1">
      <c r="A4" s="81" t="s">
        <v>3</v>
      </c>
      <c r="B4" s="82" t="s">
        <v>4</v>
      </c>
      <c r="C4" s="82" t="s">
        <v>5</v>
      </c>
      <c r="D4" s="83" t="s">
        <v>6</v>
      </c>
      <c r="E4" s="84" t="s">
        <v>7</v>
      </c>
      <c r="F4" s="82" t="s">
        <v>4</v>
      </c>
      <c r="G4" s="82" t="s">
        <v>5</v>
      </c>
      <c r="H4" s="85" t="s">
        <v>8</v>
      </c>
      <c r="I4" s="86" t="s">
        <v>9</v>
      </c>
      <c r="J4" s="87" t="s">
        <v>10</v>
      </c>
      <c r="K4" s="88" t="s">
        <v>11</v>
      </c>
      <c r="L4" s="88" t="s">
        <v>12</v>
      </c>
      <c r="M4" s="87" t="s">
        <v>13</v>
      </c>
      <c r="N4" s="31" t="s">
        <v>14</v>
      </c>
      <c r="O4" s="32" t="s">
        <v>15</v>
      </c>
      <c r="P4" s="32" t="s">
        <v>16</v>
      </c>
      <c r="Q4" s="32" t="s">
        <v>17</v>
      </c>
      <c r="R4" s="33" t="s">
        <v>18</v>
      </c>
    </row>
    <row r="5" spans="1:21" s="101" customFormat="1" ht="15.75" customHeight="1">
      <c r="A5" s="104">
        <v>1</v>
      </c>
      <c r="B5" s="105">
        <v>44712.333333333336</v>
      </c>
      <c r="C5" s="105">
        <v>44712.70138888889</v>
      </c>
      <c r="D5" s="129">
        <f>(C5-B5)*24</f>
        <v>8.83333333331393</v>
      </c>
      <c r="E5" s="105" t="s">
        <v>73</v>
      </c>
      <c r="F5" s="105">
        <v>44712.70138888889</v>
      </c>
      <c r="G5" s="105">
        <v>44712.72361111111</v>
      </c>
      <c r="H5" s="129">
        <f>(G5-F5)*24</f>
        <v>0.5333333333255723</v>
      </c>
      <c r="I5" s="151">
        <f>(G5-F5)*24</f>
        <v>0.5333333333255723</v>
      </c>
      <c r="J5" s="106" t="s">
        <v>21</v>
      </c>
      <c r="K5" s="107" t="s">
        <v>21</v>
      </c>
      <c r="L5" s="107" t="s">
        <v>21</v>
      </c>
      <c r="M5" s="108" t="s">
        <v>15</v>
      </c>
      <c r="N5" s="105"/>
      <c r="O5" s="109">
        <f aca="true" t="shared" si="0" ref="O5:O36">IF($M5="Store Lost",1,"")</f>
        <v>1</v>
      </c>
      <c r="P5" s="109">
        <f aca="true" t="shared" si="1" ref="P5:P36">IF($M5="Scheduled",1,"")</f>
      </c>
      <c r="Q5" s="109">
        <f aca="true" t="shared" si="2" ref="Q5:Q36">IF($M5="Inhibits beam to user",1,"")</f>
      </c>
      <c r="R5" s="110">
        <f aca="true" t="shared" si="3" ref="R5:R17">SUM(O5:Q5)</f>
        <v>1</v>
      </c>
      <c r="S5" s="100"/>
      <c r="T5" s="100"/>
      <c r="U5" s="100"/>
    </row>
    <row r="6" spans="1:21" s="112" customFormat="1" ht="12.75">
      <c r="A6" s="113">
        <v>2</v>
      </c>
      <c r="B6" s="114">
        <v>44712.72361111111</v>
      </c>
      <c r="C6" s="114">
        <v>44713.45416666667</v>
      </c>
      <c r="D6" s="115">
        <f>(C6-B6)*24</f>
        <v>17.53333333338378</v>
      </c>
      <c r="E6" s="114" t="s">
        <v>74</v>
      </c>
      <c r="F6" s="114">
        <v>44713.45416666667</v>
      </c>
      <c r="G6" s="114">
        <v>44713.46388888889</v>
      </c>
      <c r="H6" s="115">
        <f>(G6-F6)*24</f>
        <v>0.23333333322079852</v>
      </c>
      <c r="I6" s="115">
        <f>(G6-F6)*24</f>
        <v>0.23333333322079852</v>
      </c>
      <c r="J6" s="116" t="s">
        <v>63</v>
      </c>
      <c r="K6" s="117" t="s">
        <v>63</v>
      </c>
      <c r="L6" s="117" t="s">
        <v>63</v>
      </c>
      <c r="M6" s="118" t="s">
        <v>15</v>
      </c>
      <c r="N6" s="114"/>
      <c r="O6" s="109">
        <f t="shared" si="0"/>
        <v>1</v>
      </c>
      <c r="P6" s="109">
        <f t="shared" si="1"/>
      </c>
      <c r="Q6" s="109">
        <f t="shared" si="2"/>
      </c>
      <c r="R6" s="110">
        <f t="shared" si="3"/>
        <v>1</v>
      </c>
      <c r="S6" s="111"/>
      <c r="T6" s="111"/>
      <c r="U6" s="111"/>
    </row>
    <row r="7" spans="1:21" s="101" customFormat="1" ht="15.75" customHeight="1">
      <c r="A7" s="104">
        <v>3</v>
      </c>
      <c r="B7" s="105">
        <v>44713.46388888889</v>
      </c>
      <c r="C7" s="105">
        <v>44714.552083333336</v>
      </c>
      <c r="D7" s="129">
        <f>(C7-B7)*24</f>
        <v>26.11666666675592</v>
      </c>
      <c r="E7" s="105" t="s">
        <v>75</v>
      </c>
      <c r="F7" s="105">
        <v>44714.552083333336</v>
      </c>
      <c r="G7" s="105">
        <v>44714.59652777778</v>
      </c>
      <c r="H7" s="129">
        <f>(G7-F7)*24</f>
        <v>1.0666666666511446</v>
      </c>
      <c r="I7" s="151">
        <f>(G7-F7)*24</f>
        <v>1.0666666666511446</v>
      </c>
      <c r="J7" s="106" t="s">
        <v>63</v>
      </c>
      <c r="K7" s="107" t="s">
        <v>63</v>
      </c>
      <c r="L7" s="107" t="s">
        <v>63</v>
      </c>
      <c r="M7" s="108" t="s">
        <v>15</v>
      </c>
      <c r="N7" s="105"/>
      <c r="O7" s="109">
        <f t="shared" si="0"/>
        <v>1</v>
      </c>
      <c r="P7" s="109">
        <f t="shared" si="1"/>
      </c>
      <c r="Q7" s="109">
        <f t="shared" si="2"/>
      </c>
      <c r="R7" s="110">
        <f t="shared" si="3"/>
        <v>1</v>
      </c>
      <c r="S7" s="100"/>
      <c r="T7" s="100"/>
      <c r="U7" s="100"/>
    </row>
    <row r="8" spans="1:21" s="112" customFormat="1" ht="12.75">
      <c r="A8" s="113">
        <v>4</v>
      </c>
      <c r="B8" s="114">
        <v>44714.59652777778</v>
      </c>
      <c r="C8" s="114">
        <v>44715.56875</v>
      </c>
      <c r="D8" s="115">
        <f>(C8-B8)*24</f>
        <v>23.333333333255723</v>
      </c>
      <c r="E8" s="114" t="s">
        <v>76</v>
      </c>
      <c r="F8" s="114">
        <v>44715.56875</v>
      </c>
      <c r="G8" s="114">
        <v>44715.625</v>
      </c>
      <c r="H8" s="115">
        <f>(G8-F8)*24</f>
        <v>1.3500000000349246</v>
      </c>
      <c r="I8" s="115">
        <f>(G8-F8)*24</f>
        <v>1.3500000000349246</v>
      </c>
      <c r="J8" s="116" t="s">
        <v>22</v>
      </c>
      <c r="K8" s="117" t="s">
        <v>22</v>
      </c>
      <c r="L8" s="117" t="s">
        <v>22</v>
      </c>
      <c r="M8" s="118" t="s">
        <v>15</v>
      </c>
      <c r="N8" s="114"/>
      <c r="O8" s="109">
        <f t="shared" si="0"/>
        <v>1</v>
      </c>
      <c r="P8" s="109">
        <f t="shared" si="1"/>
      </c>
      <c r="Q8" s="109">
        <f t="shared" si="2"/>
      </c>
      <c r="R8" s="110">
        <f t="shared" si="3"/>
        <v>1</v>
      </c>
      <c r="S8" s="111"/>
      <c r="T8" s="111"/>
      <c r="U8" s="111"/>
    </row>
    <row r="9" spans="1:21" s="101" customFormat="1" ht="15.75" customHeight="1">
      <c r="A9" s="104">
        <v>5</v>
      </c>
      <c r="B9" s="105">
        <v>44715.625</v>
      </c>
      <c r="C9" s="105">
        <v>44715.75069444445</v>
      </c>
      <c r="D9" s="129">
        <f>(C9-B9)*24</f>
        <v>3.016666666720994</v>
      </c>
      <c r="E9" s="105" t="s">
        <v>76</v>
      </c>
      <c r="F9" s="105">
        <v>44715.75069444445</v>
      </c>
      <c r="G9" s="105">
        <v>44715.89166666667</v>
      </c>
      <c r="H9" s="129">
        <f>(G9-F9)*24</f>
        <v>3.383333333360497</v>
      </c>
      <c r="I9" s="151"/>
      <c r="J9" s="106" t="s">
        <v>22</v>
      </c>
      <c r="K9" s="107" t="s">
        <v>22</v>
      </c>
      <c r="L9" s="107" t="s">
        <v>22</v>
      </c>
      <c r="M9" s="108"/>
      <c r="N9" s="105"/>
      <c r="O9" s="109">
        <f t="shared" si="0"/>
      </c>
      <c r="P9" s="109">
        <f t="shared" si="1"/>
      </c>
      <c r="Q9" s="109">
        <f t="shared" si="2"/>
      </c>
      <c r="R9" s="110">
        <f t="shared" si="3"/>
        <v>0</v>
      </c>
      <c r="S9" s="100"/>
      <c r="T9" s="100"/>
      <c r="U9" s="100"/>
    </row>
    <row r="10" spans="1:21" s="112" customFormat="1" ht="12.75">
      <c r="A10" s="113"/>
      <c r="B10" s="114"/>
      <c r="C10" s="114"/>
      <c r="D10" s="115"/>
      <c r="E10" s="114"/>
      <c r="F10" s="156">
        <v>44715.75069444445</v>
      </c>
      <c r="G10" s="156">
        <v>44715.842361111114</v>
      </c>
      <c r="H10" s="157"/>
      <c r="I10" s="157">
        <f>(G10-F10)*24</f>
        <v>2.2000000000116415</v>
      </c>
      <c r="J10" s="158" t="s">
        <v>22</v>
      </c>
      <c r="K10" s="159" t="s">
        <v>22</v>
      </c>
      <c r="L10" s="159" t="s">
        <v>22</v>
      </c>
      <c r="M10" s="160" t="s">
        <v>15</v>
      </c>
      <c r="N10" s="156"/>
      <c r="O10" s="109">
        <f t="shared" si="0"/>
        <v>1</v>
      </c>
      <c r="P10" s="109">
        <f t="shared" si="1"/>
      </c>
      <c r="Q10" s="109">
        <f t="shared" si="2"/>
      </c>
      <c r="R10" s="110">
        <f t="shared" si="3"/>
        <v>1</v>
      </c>
      <c r="S10" s="111"/>
      <c r="T10" s="111"/>
      <c r="U10" s="111"/>
    </row>
    <row r="11" spans="1:21" s="112" customFormat="1" ht="12.75">
      <c r="A11" s="113"/>
      <c r="B11" s="114"/>
      <c r="C11" s="114"/>
      <c r="D11" s="115"/>
      <c r="E11" s="114"/>
      <c r="F11" s="161">
        <v>44715.842361111114</v>
      </c>
      <c r="G11" s="161">
        <v>44715.89166666667</v>
      </c>
      <c r="H11" s="162"/>
      <c r="I11" s="162">
        <f>(G11-F11)*24</f>
        <v>1.1833333333488554</v>
      </c>
      <c r="J11" s="163" t="s">
        <v>20</v>
      </c>
      <c r="K11" s="164" t="s">
        <v>20</v>
      </c>
      <c r="L11" s="164" t="s">
        <v>20</v>
      </c>
      <c r="M11" s="165" t="s">
        <v>69</v>
      </c>
      <c r="N11" s="161" t="s">
        <v>77</v>
      </c>
      <c r="O11" s="109">
        <f t="shared" si="0"/>
      </c>
      <c r="P11" s="109">
        <f t="shared" si="1"/>
      </c>
      <c r="Q11" s="109">
        <f t="shared" si="2"/>
        <v>1</v>
      </c>
      <c r="R11" s="110">
        <f t="shared" si="3"/>
        <v>1</v>
      </c>
      <c r="S11" s="111"/>
      <c r="T11" s="111"/>
      <c r="U11" s="111"/>
    </row>
    <row r="12" spans="1:21" s="112" customFormat="1" ht="12.75">
      <c r="A12" s="113">
        <v>6</v>
      </c>
      <c r="B12" s="114">
        <v>44715.89166666667</v>
      </c>
      <c r="C12" s="114">
        <v>44715.96527777778</v>
      </c>
      <c r="D12" s="115">
        <f>(C12-B12)*24</f>
        <v>1.7666666666627862</v>
      </c>
      <c r="E12" s="114" t="s">
        <v>78</v>
      </c>
      <c r="F12" s="114">
        <v>44715.96527777778</v>
      </c>
      <c r="G12" s="114">
        <v>44715.98888888889</v>
      </c>
      <c r="H12" s="115">
        <f>(G12-F12)*24</f>
        <v>0.566666666592937</v>
      </c>
      <c r="I12" s="115">
        <f>(G12-F12)*24</f>
        <v>0.566666666592937</v>
      </c>
      <c r="J12" s="116" t="s">
        <v>21</v>
      </c>
      <c r="K12" s="117" t="s">
        <v>21</v>
      </c>
      <c r="L12" s="117" t="s">
        <v>21</v>
      </c>
      <c r="M12" s="118" t="s">
        <v>15</v>
      </c>
      <c r="N12" s="114"/>
      <c r="O12" s="109">
        <f t="shared" si="0"/>
        <v>1</v>
      </c>
      <c r="P12" s="109">
        <f t="shared" si="1"/>
      </c>
      <c r="Q12" s="109">
        <f t="shared" si="2"/>
      </c>
      <c r="R12" s="110">
        <f t="shared" si="3"/>
        <v>1</v>
      </c>
      <c r="S12" s="111"/>
      <c r="T12" s="111"/>
      <c r="U12" s="111"/>
    </row>
    <row r="13" spans="1:21" s="101" customFormat="1" ht="15.75" customHeight="1">
      <c r="A13" s="104">
        <v>7</v>
      </c>
      <c r="B13" s="105">
        <v>44715.98888888889</v>
      </c>
      <c r="C13" s="105">
        <v>44716.334027777775</v>
      </c>
      <c r="D13" s="129">
        <f>(C13-B13)*24</f>
        <v>8.283333333267365</v>
      </c>
      <c r="E13" s="105" t="s">
        <v>78</v>
      </c>
      <c r="F13" s="105">
        <v>44716.334027777775</v>
      </c>
      <c r="G13" s="105">
        <v>44716.75347222222</v>
      </c>
      <c r="H13" s="129">
        <f>(G13-F13)*24</f>
        <v>10.066666666651145</v>
      </c>
      <c r="I13" s="151"/>
      <c r="J13" s="106"/>
      <c r="K13" s="107"/>
      <c r="L13" s="107"/>
      <c r="M13" s="108"/>
      <c r="N13" s="105"/>
      <c r="O13" s="109">
        <f t="shared" si="0"/>
      </c>
      <c r="P13" s="109">
        <f t="shared" si="1"/>
      </c>
      <c r="Q13" s="109">
        <f t="shared" si="2"/>
      </c>
      <c r="R13" s="110">
        <f t="shared" si="3"/>
        <v>0</v>
      </c>
      <c r="S13" s="100"/>
      <c r="T13" s="100"/>
      <c r="U13" s="100"/>
    </row>
    <row r="14" spans="1:21" s="112" customFormat="1" ht="12.75">
      <c r="A14" s="113"/>
      <c r="B14" s="114"/>
      <c r="C14" s="114"/>
      <c r="D14" s="115"/>
      <c r="E14" s="114"/>
      <c r="F14" s="156">
        <v>44716.334027777775</v>
      </c>
      <c r="G14" s="156">
        <v>44716.68680555555</v>
      </c>
      <c r="H14" s="157"/>
      <c r="I14" s="157">
        <f>(G14-F14)*24</f>
        <v>8.466666666674428</v>
      </c>
      <c r="J14" s="158" t="s">
        <v>21</v>
      </c>
      <c r="K14" s="159" t="s">
        <v>21</v>
      </c>
      <c r="L14" s="159" t="s">
        <v>21</v>
      </c>
      <c r="M14" s="160" t="s">
        <v>15</v>
      </c>
      <c r="N14" s="156"/>
      <c r="O14" s="109">
        <f t="shared" si="0"/>
        <v>1</v>
      </c>
      <c r="P14" s="109">
        <f t="shared" si="1"/>
      </c>
      <c r="Q14" s="109">
        <f t="shared" si="2"/>
      </c>
      <c r="R14" s="110">
        <f t="shared" si="3"/>
        <v>1</v>
      </c>
      <c r="S14" s="111"/>
      <c r="T14" s="111"/>
      <c r="U14" s="111"/>
    </row>
    <row r="15" spans="1:21" s="112" customFormat="1" ht="12.75">
      <c r="A15" s="113"/>
      <c r="B15" s="114"/>
      <c r="C15" s="114"/>
      <c r="D15" s="115"/>
      <c r="E15" s="114"/>
      <c r="F15" s="161">
        <v>44716.68680555555</v>
      </c>
      <c r="G15" s="161">
        <v>44716.75347222222</v>
      </c>
      <c r="H15" s="162"/>
      <c r="I15" s="162">
        <f>(G15-F15)*24</f>
        <v>1.599999999976717</v>
      </c>
      <c r="J15" s="163" t="s">
        <v>22</v>
      </c>
      <c r="K15" s="164" t="s">
        <v>22</v>
      </c>
      <c r="L15" s="164" t="s">
        <v>22</v>
      </c>
      <c r="M15" s="165" t="s">
        <v>69</v>
      </c>
      <c r="N15" s="161"/>
      <c r="O15" s="109">
        <f t="shared" si="0"/>
      </c>
      <c r="P15" s="109">
        <f t="shared" si="1"/>
      </c>
      <c r="Q15" s="109">
        <f t="shared" si="2"/>
        <v>1</v>
      </c>
      <c r="R15" s="110">
        <f t="shared" si="3"/>
        <v>1</v>
      </c>
      <c r="S15" s="111"/>
      <c r="T15" s="111"/>
      <c r="U15" s="111"/>
    </row>
    <row r="16" spans="1:21" s="112" customFormat="1" ht="12.75">
      <c r="A16" s="113">
        <v>10</v>
      </c>
      <c r="B16" s="114">
        <v>44716.75347222222</v>
      </c>
      <c r="C16" s="114">
        <v>44716.84375</v>
      </c>
      <c r="D16" s="115">
        <f>(C16-B16)*24</f>
        <v>2.166666666744277</v>
      </c>
      <c r="E16" s="114" t="s">
        <v>79</v>
      </c>
      <c r="F16" s="114">
        <v>44716.84375</v>
      </c>
      <c r="G16" s="114">
        <v>44716.868055555555</v>
      </c>
      <c r="H16" s="115">
        <f>(G16-F16)*24</f>
        <v>0.5833333333139308</v>
      </c>
      <c r="I16" s="115">
        <f>(G16-F16)*24</f>
        <v>0.5833333333139308</v>
      </c>
      <c r="J16" s="116" t="s">
        <v>21</v>
      </c>
      <c r="K16" s="117" t="s">
        <v>21</v>
      </c>
      <c r="L16" s="117" t="s">
        <v>21</v>
      </c>
      <c r="M16" s="118" t="s">
        <v>15</v>
      </c>
      <c r="N16" s="114"/>
      <c r="O16" s="109">
        <f t="shared" si="0"/>
        <v>1</v>
      </c>
      <c r="P16" s="109">
        <f t="shared" si="1"/>
      </c>
      <c r="Q16" s="109">
        <f t="shared" si="2"/>
      </c>
      <c r="R16" s="110">
        <f t="shared" si="3"/>
        <v>1</v>
      </c>
      <c r="S16" s="111"/>
      <c r="T16" s="111"/>
      <c r="U16" s="111"/>
    </row>
    <row r="17" spans="1:21" s="101" customFormat="1" ht="15.75" customHeight="1">
      <c r="A17" s="104">
        <v>11</v>
      </c>
      <c r="B17" s="105">
        <v>44716.868055555555</v>
      </c>
      <c r="C17" s="105">
        <v>44718.333333333336</v>
      </c>
      <c r="D17" s="129">
        <f>(C17-B17)*24</f>
        <v>35.16666666674428</v>
      </c>
      <c r="E17" s="105" t="s">
        <v>66</v>
      </c>
      <c r="F17" s="105"/>
      <c r="G17" s="105"/>
      <c r="H17" s="129">
        <f>(G17-F17)*24</f>
        <v>0</v>
      </c>
      <c r="I17" s="129">
        <f>(G17-F17)*24</f>
        <v>0</v>
      </c>
      <c r="J17" s="106"/>
      <c r="K17" s="107"/>
      <c r="L17" s="107"/>
      <c r="M17" s="108" t="s">
        <v>19</v>
      </c>
      <c r="N17" s="105"/>
      <c r="O17" s="109">
        <f t="shared" si="0"/>
      </c>
      <c r="P17" s="109">
        <f t="shared" si="1"/>
        <v>1</v>
      </c>
      <c r="Q17" s="109">
        <f t="shared" si="2"/>
      </c>
      <c r="R17" s="110">
        <f t="shared" si="3"/>
        <v>1</v>
      </c>
      <c r="S17" s="100"/>
      <c r="T17" s="100"/>
      <c r="U17" s="100"/>
    </row>
    <row r="18" spans="1:21" s="128" customFormat="1" ht="12.75">
      <c r="A18" s="119"/>
      <c r="B18" s="120"/>
      <c r="C18" s="120"/>
      <c r="D18" s="121">
        <f>SUM(D5:D17)</f>
        <v>126.21666666684905</v>
      </c>
      <c r="E18" s="122"/>
      <c r="F18" s="123"/>
      <c r="G18" s="123"/>
      <c r="H18" s="124">
        <f>SUM(H5:H17)</f>
        <v>17.78333333315095</v>
      </c>
      <c r="I18" s="124">
        <f>SUM(I5:I17)</f>
        <v>17.78333333315095</v>
      </c>
      <c r="J18" s="125"/>
      <c r="K18" s="126"/>
      <c r="L18" s="126"/>
      <c r="M18" s="127"/>
      <c r="N18" s="122"/>
      <c r="O18" s="109">
        <f t="shared" si="0"/>
      </c>
      <c r="P18" s="109">
        <f t="shared" si="1"/>
      </c>
      <c r="Q18" s="109">
        <f t="shared" si="2"/>
      </c>
      <c r="R18" s="110">
        <f aca="true" t="shared" si="4" ref="R18:R57">SUM(O18:Q18)</f>
        <v>0</v>
      </c>
      <c r="S18" s="30"/>
      <c r="T18" s="30"/>
      <c r="U18" s="30"/>
    </row>
    <row r="19" spans="1:21" s="112" customFormat="1" ht="12.75">
      <c r="A19" s="113"/>
      <c r="B19" s="114"/>
      <c r="C19" s="114"/>
      <c r="D19" s="115"/>
      <c r="E19" s="114"/>
      <c r="F19" s="114">
        <v>44719.333333333336</v>
      </c>
      <c r="G19" s="114">
        <v>44719.38611111111</v>
      </c>
      <c r="H19" s="115">
        <f aca="true" t="shared" si="5" ref="H19:H24">(G19-F19)*24</f>
        <v>1.2666666666045785</v>
      </c>
      <c r="I19" s="115">
        <f aca="true" t="shared" si="6" ref="I19:I24">(G19-F19)*24</f>
        <v>1.2666666666045785</v>
      </c>
      <c r="J19" s="116" t="s">
        <v>22</v>
      </c>
      <c r="K19" s="117" t="s">
        <v>22</v>
      </c>
      <c r="L19" s="117" t="s">
        <v>22</v>
      </c>
      <c r="M19" s="118" t="s">
        <v>69</v>
      </c>
      <c r="N19" s="114" t="s">
        <v>80</v>
      </c>
      <c r="O19" s="109">
        <f t="shared" si="0"/>
      </c>
      <c r="P19" s="109">
        <f t="shared" si="1"/>
      </c>
      <c r="Q19" s="109">
        <f t="shared" si="2"/>
        <v>1</v>
      </c>
      <c r="R19" s="110">
        <f t="shared" si="4"/>
        <v>1</v>
      </c>
      <c r="S19" s="111"/>
      <c r="T19" s="111"/>
      <c r="U19" s="111"/>
    </row>
    <row r="20" spans="1:21" s="101" customFormat="1" ht="15.75" customHeight="1">
      <c r="A20" s="104">
        <v>12</v>
      </c>
      <c r="B20" s="105">
        <v>44719.38611111111</v>
      </c>
      <c r="C20" s="105">
        <v>44722.01111111111</v>
      </c>
      <c r="D20" s="129">
        <f>(C20-B20)*24</f>
        <v>63</v>
      </c>
      <c r="E20" s="105" t="s">
        <v>76</v>
      </c>
      <c r="F20" s="105">
        <v>44722.01111111111</v>
      </c>
      <c r="G20" s="105">
        <v>44722.04236111111</v>
      </c>
      <c r="H20" s="129">
        <f t="shared" si="5"/>
        <v>0.75</v>
      </c>
      <c r="I20" s="129">
        <f t="shared" si="6"/>
        <v>0.75</v>
      </c>
      <c r="J20" s="106" t="s">
        <v>22</v>
      </c>
      <c r="K20" s="107" t="s">
        <v>22</v>
      </c>
      <c r="L20" s="107" t="s">
        <v>22</v>
      </c>
      <c r="M20" s="108" t="s">
        <v>15</v>
      </c>
      <c r="N20" s="105"/>
      <c r="O20" s="109">
        <f t="shared" si="0"/>
        <v>1</v>
      </c>
      <c r="P20" s="109">
        <f t="shared" si="1"/>
      </c>
      <c r="Q20" s="109">
        <f t="shared" si="2"/>
      </c>
      <c r="R20" s="110">
        <f>SUM(O20:Q20)</f>
        <v>1</v>
      </c>
      <c r="S20" s="100"/>
      <c r="T20" s="100"/>
      <c r="U20" s="100"/>
    </row>
    <row r="21" spans="1:21" s="112" customFormat="1" ht="12.75">
      <c r="A21" s="113">
        <v>13</v>
      </c>
      <c r="B21" s="114">
        <v>44722.04236111111</v>
      </c>
      <c r="C21" s="114">
        <v>44722.73055555556</v>
      </c>
      <c r="D21" s="115">
        <f>(C21-B21)*24</f>
        <v>16.516666666720994</v>
      </c>
      <c r="E21" s="114" t="s">
        <v>81</v>
      </c>
      <c r="F21" s="114">
        <v>44722.73055555556</v>
      </c>
      <c r="G21" s="114">
        <v>44722.75069444445</v>
      </c>
      <c r="H21" s="115">
        <f t="shared" si="5"/>
        <v>0.48333333333721384</v>
      </c>
      <c r="I21" s="115">
        <f t="shared" si="6"/>
        <v>0.48333333333721384</v>
      </c>
      <c r="J21" s="116" t="s">
        <v>68</v>
      </c>
      <c r="K21" s="117" t="s">
        <v>68</v>
      </c>
      <c r="L21" s="117" t="s">
        <v>68</v>
      </c>
      <c r="M21" s="118" t="s">
        <v>15</v>
      </c>
      <c r="N21" s="114"/>
      <c r="O21" s="109">
        <f t="shared" si="0"/>
        <v>1</v>
      </c>
      <c r="P21" s="109">
        <f t="shared" si="1"/>
      </c>
      <c r="Q21" s="109">
        <f t="shared" si="2"/>
      </c>
      <c r="R21" s="110">
        <f>SUM(O21:Q21)</f>
        <v>1</v>
      </c>
      <c r="S21" s="111"/>
      <c r="T21" s="111"/>
      <c r="U21" s="111"/>
    </row>
    <row r="22" spans="1:21" s="101" customFormat="1" ht="15.75" customHeight="1">
      <c r="A22" s="104">
        <v>14</v>
      </c>
      <c r="B22" s="105">
        <v>44722.75069444445</v>
      </c>
      <c r="C22" s="105">
        <v>44722.93680555555</v>
      </c>
      <c r="D22" s="129">
        <f>(C22-B22)*24</f>
        <v>4.466666666558012</v>
      </c>
      <c r="E22" s="105" t="s">
        <v>81</v>
      </c>
      <c r="F22" s="105">
        <v>44722.93680555555</v>
      </c>
      <c r="G22" s="105">
        <v>44722.95486111111</v>
      </c>
      <c r="H22" s="129">
        <f t="shared" si="5"/>
        <v>0.4333333333488554</v>
      </c>
      <c r="I22" s="129">
        <f t="shared" si="6"/>
        <v>0.4333333333488554</v>
      </c>
      <c r="J22" s="106" t="s">
        <v>68</v>
      </c>
      <c r="K22" s="107" t="s">
        <v>68</v>
      </c>
      <c r="L22" s="107" t="s">
        <v>68</v>
      </c>
      <c r="M22" s="108" t="s">
        <v>15</v>
      </c>
      <c r="N22" s="105"/>
      <c r="O22" s="109">
        <f t="shared" si="0"/>
        <v>1</v>
      </c>
      <c r="P22" s="109">
        <f t="shared" si="1"/>
      </c>
      <c r="Q22" s="109">
        <f t="shared" si="2"/>
      </c>
      <c r="R22" s="110">
        <f t="shared" si="4"/>
        <v>1</v>
      </c>
      <c r="S22" s="100"/>
      <c r="T22" s="100"/>
      <c r="U22" s="100"/>
    </row>
    <row r="23" spans="1:21" s="112" customFormat="1" ht="12.75">
      <c r="A23" s="113">
        <v>15</v>
      </c>
      <c r="B23" s="114">
        <v>44722.95486111111</v>
      </c>
      <c r="C23" s="114">
        <v>44724.385416666664</v>
      </c>
      <c r="D23" s="115">
        <f>(C23-B23)*24</f>
        <v>34.33333333331393</v>
      </c>
      <c r="E23" s="114" t="s">
        <v>81</v>
      </c>
      <c r="F23" s="114">
        <v>44724.385416666664</v>
      </c>
      <c r="G23" s="114">
        <v>44724.40416666667</v>
      </c>
      <c r="H23" s="115">
        <f t="shared" si="5"/>
        <v>0.4500000000698492</v>
      </c>
      <c r="I23" s="115">
        <f t="shared" si="6"/>
        <v>0.4500000000698492</v>
      </c>
      <c r="J23" s="116" t="s">
        <v>68</v>
      </c>
      <c r="K23" s="117" t="s">
        <v>68</v>
      </c>
      <c r="L23" s="117" t="s">
        <v>68</v>
      </c>
      <c r="M23" s="118" t="s">
        <v>15</v>
      </c>
      <c r="N23" s="114"/>
      <c r="O23" s="109">
        <f t="shared" si="0"/>
        <v>1</v>
      </c>
      <c r="P23" s="109">
        <f t="shared" si="1"/>
      </c>
      <c r="Q23" s="109">
        <f t="shared" si="2"/>
      </c>
      <c r="R23" s="110">
        <f t="shared" si="4"/>
        <v>1</v>
      </c>
      <c r="S23" s="111"/>
      <c r="T23" s="111"/>
      <c r="U23" s="111"/>
    </row>
    <row r="24" spans="1:21" s="101" customFormat="1" ht="15.75" customHeight="1">
      <c r="A24" s="104">
        <v>16</v>
      </c>
      <c r="B24" s="105">
        <v>44724.40416666667</v>
      </c>
      <c r="C24" s="105">
        <v>44725.333333333336</v>
      </c>
      <c r="D24" s="129">
        <f>(C24-B24)*24</f>
        <v>22.300000000046566</v>
      </c>
      <c r="E24" s="105" t="s">
        <v>66</v>
      </c>
      <c r="F24" s="105"/>
      <c r="G24" s="105"/>
      <c r="H24" s="129">
        <f t="shared" si="5"/>
        <v>0</v>
      </c>
      <c r="I24" s="129">
        <f t="shared" si="6"/>
        <v>0</v>
      </c>
      <c r="J24" s="106"/>
      <c r="K24" s="107"/>
      <c r="L24" s="107"/>
      <c r="M24" s="108" t="s">
        <v>19</v>
      </c>
      <c r="N24" s="105"/>
      <c r="O24" s="109">
        <f t="shared" si="0"/>
      </c>
      <c r="P24" s="109">
        <f t="shared" si="1"/>
        <v>1</v>
      </c>
      <c r="Q24" s="109">
        <f t="shared" si="2"/>
      </c>
      <c r="R24" s="110">
        <f t="shared" si="4"/>
        <v>1</v>
      </c>
      <c r="S24" s="100"/>
      <c r="T24" s="100"/>
      <c r="U24" s="100"/>
    </row>
    <row r="25" spans="1:21" s="128" customFormat="1" ht="12.75">
      <c r="A25" s="119"/>
      <c r="B25" s="120"/>
      <c r="C25" s="120"/>
      <c r="D25" s="121">
        <f>SUM(D19:D24)</f>
        <v>140.6166666666395</v>
      </c>
      <c r="E25" s="122"/>
      <c r="F25" s="123"/>
      <c r="G25" s="123"/>
      <c r="H25" s="124">
        <f>SUM(H19:H24)</f>
        <v>3.383333333360497</v>
      </c>
      <c r="I25" s="124">
        <f>SUM(I19:I24)</f>
        <v>3.383333333360497</v>
      </c>
      <c r="J25" s="125"/>
      <c r="K25" s="126"/>
      <c r="L25" s="126"/>
      <c r="M25" s="127"/>
      <c r="N25" s="122"/>
      <c r="O25" s="109">
        <f t="shared" si="0"/>
      </c>
      <c r="P25" s="109">
        <f t="shared" si="1"/>
      </c>
      <c r="Q25" s="109">
        <f t="shared" si="2"/>
      </c>
      <c r="R25" s="110">
        <f t="shared" si="4"/>
        <v>0</v>
      </c>
      <c r="S25" s="30"/>
      <c r="T25" s="30"/>
      <c r="U25" s="30"/>
    </row>
    <row r="26" spans="1:21" s="101" customFormat="1" ht="15.75" customHeight="1">
      <c r="A26" s="104">
        <v>17</v>
      </c>
      <c r="B26" s="105">
        <v>44726.333333333336</v>
      </c>
      <c r="C26" s="105">
        <v>44728.92916666667</v>
      </c>
      <c r="D26" s="129">
        <f>(C26-B26)*24</f>
        <v>62.29999999998836</v>
      </c>
      <c r="E26" s="105" t="s">
        <v>82</v>
      </c>
      <c r="F26" s="105">
        <v>44728.92916666667</v>
      </c>
      <c r="G26" s="105">
        <v>44729.39444444444</v>
      </c>
      <c r="H26" s="129">
        <f>(G26-F26)*24</f>
        <v>11.166666666569654</v>
      </c>
      <c r="I26" s="151">
        <f>(G26-F26)*24</f>
        <v>11.166666666569654</v>
      </c>
      <c r="J26" s="106" t="s">
        <v>72</v>
      </c>
      <c r="K26" s="107" t="s">
        <v>72</v>
      </c>
      <c r="L26" s="107" t="s">
        <v>72</v>
      </c>
      <c r="M26" s="108" t="s">
        <v>15</v>
      </c>
      <c r="N26" s="105"/>
      <c r="O26" s="109">
        <f t="shared" si="0"/>
        <v>1</v>
      </c>
      <c r="P26" s="109">
        <f t="shared" si="1"/>
      </c>
      <c r="Q26" s="109">
        <f t="shared" si="2"/>
      </c>
      <c r="R26" s="110">
        <f t="shared" si="4"/>
        <v>1</v>
      </c>
      <c r="S26" s="100"/>
      <c r="T26" s="100"/>
      <c r="U26" s="100"/>
    </row>
    <row r="27" spans="1:21" s="112" customFormat="1" ht="12.75">
      <c r="A27" s="113">
        <v>18</v>
      </c>
      <c r="B27" s="114">
        <v>44729.39444444444</v>
      </c>
      <c r="C27" s="114">
        <v>44729.486805555556</v>
      </c>
      <c r="D27" s="115">
        <f>(C27-B27)*24</f>
        <v>2.2166666667326353</v>
      </c>
      <c r="E27" s="114" t="s">
        <v>83</v>
      </c>
      <c r="F27" s="114">
        <v>44729.486805555556</v>
      </c>
      <c r="G27" s="114">
        <v>44729.53958333333</v>
      </c>
      <c r="H27" s="115">
        <f>(G27-F27)*24</f>
        <v>1.2666666666045785</v>
      </c>
      <c r="I27" s="115">
        <f>(G27-F27)*24</f>
        <v>1.2666666666045785</v>
      </c>
      <c r="J27" s="116" t="s">
        <v>68</v>
      </c>
      <c r="K27" s="117" t="s">
        <v>68</v>
      </c>
      <c r="L27" s="117" t="s">
        <v>68</v>
      </c>
      <c r="M27" s="118" t="s">
        <v>15</v>
      </c>
      <c r="N27" s="114"/>
      <c r="O27" s="109">
        <f t="shared" si="0"/>
        <v>1</v>
      </c>
      <c r="P27" s="109">
        <f t="shared" si="1"/>
      </c>
      <c r="Q27" s="109">
        <f t="shared" si="2"/>
      </c>
      <c r="R27" s="110">
        <f t="shared" si="4"/>
        <v>1</v>
      </c>
      <c r="S27" s="111"/>
      <c r="T27" s="111"/>
      <c r="U27" s="111"/>
    </row>
    <row r="28" spans="1:21" s="101" customFormat="1" ht="15.75" customHeight="1">
      <c r="A28" s="104">
        <v>19</v>
      </c>
      <c r="B28" s="105">
        <v>44729.53958333333</v>
      </c>
      <c r="C28" s="105">
        <v>44729.595138888886</v>
      </c>
      <c r="D28" s="129">
        <f>(C28-B28)*24</f>
        <v>1.3333333333139308</v>
      </c>
      <c r="E28" s="105" t="s">
        <v>84</v>
      </c>
      <c r="F28" s="105">
        <v>44729.595138888886</v>
      </c>
      <c r="G28" s="105">
        <v>44729.71319444444</v>
      </c>
      <c r="H28" s="129">
        <f>(G28-F28)*24</f>
        <v>2.833333333313931</v>
      </c>
      <c r="I28" s="129">
        <f>(G28-F28)*24</f>
        <v>2.833333333313931</v>
      </c>
      <c r="J28" s="106" t="s">
        <v>71</v>
      </c>
      <c r="K28" s="107" t="s">
        <v>71</v>
      </c>
      <c r="L28" s="107" t="s">
        <v>71</v>
      </c>
      <c r="M28" s="108" t="s">
        <v>15</v>
      </c>
      <c r="N28" s="105"/>
      <c r="O28" s="109">
        <f t="shared" si="0"/>
        <v>1</v>
      </c>
      <c r="P28" s="109">
        <f t="shared" si="1"/>
      </c>
      <c r="Q28" s="109">
        <f t="shared" si="2"/>
      </c>
      <c r="R28" s="110">
        <f t="shared" si="4"/>
        <v>1</v>
      </c>
      <c r="S28" s="100"/>
      <c r="T28" s="100"/>
      <c r="U28" s="100"/>
    </row>
    <row r="29" spans="1:21" s="112" customFormat="1" ht="12.75">
      <c r="A29" s="113">
        <v>20</v>
      </c>
      <c r="B29" s="114">
        <v>44729.71319444444</v>
      </c>
      <c r="C29" s="114">
        <v>44732.333333333336</v>
      </c>
      <c r="D29" s="115">
        <f>(C29-B29)*24</f>
        <v>62.88333333347691</v>
      </c>
      <c r="E29" s="114" t="s">
        <v>66</v>
      </c>
      <c r="F29" s="114"/>
      <c r="G29" s="114"/>
      <c r="H29" s="115">
        <f>(G29-F29)*24</f>
        <v>0</v>
      </c>
      <c r="I29" s="115">
        <f>(G29-F29)*24</f>
        <v>0</v>
      </c>
      <c r="J29" s="116"/>
      <c r="K29" s="117"/>
      <c r="L29" s="117"/>
      <c r="M29" s="118" t="s">
        <v>19</v>
      </c>
      <c r="N29" s="114"/>
      <c r="O29" s="109">
        <f t="shared" si="0"/>
      </c>
      <c r="P29" s="109">
        <f t="shared" si="1"/>
        <v>1</v>
      </c>
      <c r="Q29" s="109">
        <f t="shared" si="2"/>
      </c>
      <c r="R29" s="110">
        <f t="shared" si="4"/>
        <v>1</v>
      </c>
      <c r="S29" s="111"/>
      <c r="T29" s="111"/>
      <c r="U29" s="111"/>
    </row>
    <row r="30" spans="1:21" s="128" customFormat="1" ht="12.75">
      <c r="A30" s="119"/>
      <c r="B30" s="120"/>
      <c r="C30" s="120"/>
      <c r="D30" s="121">
        <f>SUM(D26:D29)</f>
        <v>128.73333333351184</v>
      </c>
      <c r="E30" s="122"/>
      <c r="F30" s="123"/>
      <c r="G30" s="123"/>
      <c r="H30" s="124">
        <f>SUM(H26:H29)</f>
        <v>15.266666666488163</v>
      </c>
      <c r="I30" s="124">
        <f>SUM(I26:I29)</f>
        <v>15.266666666488163</v>
      </c>
      <c r="J30" s="125"/>
      <c r="K30" s="126"/>
      <c r="L30" s="126"/>
      <c r="M30" s="127"/>
      <c r="N30" s="122"/>
      <c r="O30" s="109">
        <f t="shared" si="0"/>
      </c>
      <c r="P30" s="109">
        <f t="shared" si="1"/>
      </c>
      <c r="Q30" s="109">
        <f t="shared" si="2"/>
      </c>
      <c r="R30" s="110">
        <f t="shared" si="4"/>
        <v>0</v>
      </c>
      <c r="S30" s="30"/>
      <c r="T30" s="30"/>
      <c r="U30" s="30"/>
    </row>
    <row r="31" spans="1:21" s="112" customFormat="1" ht="12.75">
      <c r="A31" s="113">
        <v>21</v>
      </c>
      <c r="B31" s="114">
        <v>44733.333333333336</v>
      </c>
      <c r="C31" s="114">
        <v>44734.55</v>
      </c>
      <c r="D31" s="115">
        <f>(C31-B31)*24</f>
        <v>29.20000000001164</v>
      </c>
      <c r="E31" s="114" t="s">
        <v>85</v>
      </c>
      <c r="F31" s="114">
        <v>44734.55</v>
      </c>
      <c r="G31" s="114">
        <v>44734.61597222222</v>
      </c>
      <c r="H31" s="115">
        <f>(G31-F31)*24</f>
        <v>1.5833333332557231</v>
      </c>
      <c r="I31" s="115">
        <f>(G31-F31)*24</f>
        <v>1.5833333332557231</v>
      </c>
      <c r="J31" s="116" t="s">
        <v>21</v>
      </c>
      <c r="K31" s="117" t="s">
        <v>21</v>
      </c>
      <c r="L31" s="117" t="s">
        <v>21</v>
      </c>
      <c r="M31" s="118" t="s">
        <v>15</v>
      </c>
      <c r="N31" s="114"/>
      <c r="O31" s="109">
        <f t="shared" si="0"/>
        <v>1</v>
      </c>
      <c r="P31" s="109">
        <f t="shared" si="1"/>
      </c>
      <c r="Q31" s="109">
        <f t="shared" si="2"/>
      </c>
      <c r="R31" s="110">
        <f>SUM(O31:Q31)</f>
        <v>1</v>
      </c>
      <c r="S31" s="111"/>
      <c r="T31" s="111"/>
      <c r="U31" s="111"/>
    </row>
    <row r="32" spans="1:21" s="101" customFormat="1" ht="15.75" customHeight="1">
      <c r="A32" s="104">
        <v>22</v>
      </c>
      <c r="B32" s="105">
        <v>44734.61597222222</v>
      </c>
      <c r="C32" s="105">
        <v>44735.66875</v>
      </c>
      <c r="D32" s="129">
        <f>(C32-B32)*24</f>
        <v>25.26666666660458</v>
      </c>
      <c r="E32" s="105" t="s">
        <v>86</v>
      </c>
      <c r="F32" s="105">
        <v>44735.66875</v>
      </c>
      <c r="G32" s="105">
        <v>44735.93402777778</v>
      </c>
      <c r="H32" s="129">
        <f>(G32-F32)*24</f>
        <v>6.366666666814126</v>
      </c>
      <c r="I32" s="129">
        <f>(G32-F32)*24</f>
        <v>6.366666666814126</v>
      </c>
      <c r="J32" s="106" t="s">
        <v>20</v>
      </c>
      <c r="K32" s="107" t="s">
        <v>20</v>
      </c>
      <c r="L32" s="107" t="s">
        <v>20</v>
      </c>
      <c r="M32" s="108" t="s">
        <v>15</v>
      </c>
      <c r="N32" s="105"/>
      <c r="O32" s="109">
        <f t="shared" si="0"/>
        <v>1</v>
      </c>
      <c r="P32" s="109">
        <f t="shared" si="1"/>
      </c>
      <c r="Q32" s="109">
        <f t="shared" si="2"/>
      </c>
      <c r="R32" s="110">
        <f>SUM(O32:Q32)</f>
        <v>1</v>
      </c>
      <c r="S32" s="100"/>
      <c r="T32" s="100"/>
      <c r="U32" s="100"/>
    </row>
    <row r="33" spans="1:21" s="112" customFormat="1" ht="12.75">
      <c r="A33" s="113">
        <v>23</v>
      </c>
      <c r="B33" s="114">
        <v>44735.93402777778</v>
      </c>
      <c r="C33" s="114">
        <v>44738.90694444445</v>
      </c>
      <c r="D33" s="115">
        <f>(C33-B33)*24</f>
        <v>71.34999999997672</v>
      </c>
      <c r="E33" s="114" t="s">
        <v>85</v>
      </c>
      <c r="F33" s="114">
        <v>44738.90694444445</v>
      </c>
      <c r="G33" s="114">
        <v>44738.947222222225</v>
      </c>
      <c r="H33" s="115">
        <f>(G33-F33)*24</f>
        <v>0.9666666666744277</v>
      </c>
      <c r="I33" s="115">
        <f>(G33-F33)*24</f>
        <v>0.9666666666744277</v>
      </c>
      <c r="J33" s="116" t="s">
        <v>21</v>
      </c>
      <c r="K33" s="117" t="s">
        <v>21</v>
      </c>
      <c r="L33" s="117" t="s">
        <v>21</v>
      </c>
      <c r="M33" s="118" t="s">
        <v>15</v>
      </c>
      <c r="N33" s="114"/>
      <c r="O33" s="109">
        <f t="shared" si="0"/>
        <v>1</v>
      </c>
      <c r="P33" s="109">
        <f t="shared" si="1"/>
      </c>
      <c r="Q33" s="109">
        <f t="shared" si="2"/>
      </c>
      <c r="R33" s="110">
        <f t="shared" si="4"/>
        <v>1</v>
      </c>
      <c r="S33" s="111"/>
      <c r="T33" s="111"/>
      <c r="U33" s="111"/>
    </row>
    <row r="34" spans="1:21" s="101" customFormat="1" ht="15.75" customHeight="1">
      <c r="A34" s="104">
        <v>24</v>
      </c>
      <c r="B34" s="105">
        <v>44738.947222222225</v>
      </c>
      <c r="C34" s="105">
        <v>44739.333333333336</v>
      </c>
      <c r="D34" s="129">
        <f>(C34-B34)*24</f>
        <v>9.266666666662786</v>
      </c>
      <c r="E34" s="105" t="s">
        <v>66</v>
      </c>
      <c r="F34" s="105"/>
      <c r="G34" s="105"/>
      <c r="H34" s="129">
        <f>(G34-F34)*24</f>
        <v>0</v>
      </c>
      <c r="I34" s="129">
        <f>(G34-F34)*24</f>
        <v>0</v>
      </c>
      <c r="J34" s="106"/>
      <c r="K34" s="107"/>
      <c r="L34" s="107"/>
      <c r="M34" s="108" t="s">
        <v>19</v>
      </c>
      <c r="N34" s="105"/>
      <c r="O34" s="109">
        <f t="shared" si="0"/>
      </c>
      <c r="P34" s="109">
        <f t="shared" si="1"/>
        <v>1</v>
      </c>
      <c r="Q34" s="109">
        <f t="shared" si="2"/>
      </c>
      <c r="R34" s="110">
        <f t="shared" si="4"/>
        <v>1</v>
      </c>
      <c r="S34" s="100"/>
      <c r="T34" s="100"/>
      <c r="U34" s="100"/>
    </row>
    <row r="35" spans="1:21" s="128" customFormat="1" ht="12.75">
      <c r="A35" s="119"/>
      <c r="B35" s="120"/>
      <c r="C35" s="120"/>
      <c r="D35" s="121">
        <f>SUM(D31:D34)</f>
        <v>135.08333333325572</v>
      </c>
      <c r="E35" s="122"/>
      <c r="F35" s="123"/>
      <c r="G35" s="123"/>
      <c r="H35" s="124">
        <f>SUM(H31:H34)</f>
        <v>8.916666666744277</v>
      </c>
      <c r="I35" s="124">
        <f>SUM(I31:I34)</f>
        <v>8.916666666744277</v>
      </c>
      <c r="J35" s="125"/>
      <c r="K35" s="126"/>
      <c r="L35" s="126"/>
      <c r="M35" s="127"/>
      <c r="N35" s="122"/>
      <c r="O35" s="109">
        <f t="shared" si="0"/>
      </c>
      <c r="P35" s="109">
        <f t="shared" si="1"/>
      </c>
      <c r="Q35" s="109">
        <f t="shared" si="2"/>
      </c>
      <c r="R35" s="110">
        <f t="shared" si="4"/>
        <v>0</v>
      </c>
      <c r="S35" s="30"/>
      <c r="T35" s="30"/>
      <c r="U35" s="30"/>
    </row>
    <row r="36" spans="1:21" s="101" customFormat="1" ht="15.75" customHeight="1">
      <c r="A36" s="104">
        <v>25</v>
      </c>
      <c r="B36" s="105">
        <v>44741.333333333336</v>
      </c>
      <c r="C36" s="105">
        <v>44742.48819444444</v>
      </c>
      <c r="D36" s="129">
        <f>(C36-B36)*24</f>
        <v>27.716666666558012</v>
      </c>
      <c r="E36" s="105" t="s">
        <v>85</v>
      </c>
      <c r="F36" s="105">
        <v>44742.48819444444</v>
      </c>
      <c r="G36" s="105">
        <v>44742.566666666666</v>
      </c>
      <c r="H36" s="129">
        <f>(G36-F36)*24</f>
        <v>1.883333333360497</v>
      </c>
      <c r="I36" s="129"/>
      <c r="J36" s="106"/>
      <c r="K36" s="107"/>
      <c r="L36" s="107"/>
      <c r="M36" s="108"/>
      <c r="N36" s="105"/>
      <c r="O36" s="109">
        <f t="shared" si="0"/>
      </c>
      <c r="P36" s="109">
        <f t="shared" si="1"/>
      </c>
      <c r="Q36" s="109">
        <f t="shared" si="2"/>
      </c>
      <c r="R36" s="110">
        <f t="shared" si="4"/>
        <v>0</v>
      </c>
      <c r="S36" s="100"/>
      <c r="T36" s="100"/>
      <c r="U36" s="100"/>
    </row>
    <row r="37" spans="1:21" s="112" customFormat="1" ht="12.75">
      <c r="A37" s="113"/>
      <c r="B37" s="114"/>
      <c r="C37" s="114"/>
      <c r="D37" s="115"/>
      <c r="E37" s="114"/>
      <c r="F37" s="156">
        <v>44742.48819444444</v>
      </c>
      <c r="G37" s="156">
        <v>44742.50902777778</v>
      </c>
      <c r="H37" s="157"/>
      <c r="I37" s="157">
        <f>(G37-F37)*24</f>
        <v>0.5000000000582077</v>
      </c>
      <c r="J37" s="158" t="s">
        <v>21</v>
      </c>
      <c r="K37" s="159" t="s">
        <v>21</v>
      </c>
      <c r="L37" s="159" t="s">
        <v>21</v>
      </c>
      <c r="M37" s="160" t="s">
        <v>15</v>
      </c>
      <c r="N37" s="156"/>
      <c r="O37" s="109">
        <f aca="true" t="shared" si="7" ref="O37:O76">IF($M37="Store Lost",1,"")</f>
        <v>1</v>
      </c>
      <c r="P37" s="109">
        <f aca="true" t="shared" si="8" ref="P37:P76">IF($M37="Scheduled",1,"")</f>
      </c>
      <c r="Q37" s="109">
        <f aca="true" t="shared" si="9" ref="Q37:Q76">IF($M37="Inhibits beam to user",1,"")</f>
      </c>
      <c r="R37" s="110">
        <f>SUM(O37:Q37)</f>
        <v>1</v>
      </c>
      <c r="S37" s="111"/>
      <c r="T37" s="111"/>
      <c r="U37" s="111"/>
    </row>
    <row r="38" spans="1:21" s="112" customFormat="1" ht="12.75">
      <c r="A38" s="113"/>
      <c r="B38" s="114"/>
      <c r="C38" s="114"/>
      <c r="D38" s="115"/>
      <c r="E38" s="114"/>
      <c r="F38" s="161">
        <v>44742.50902777778</v>
      </c>
      <c r="G38" s="161">
        <v>44742.566666666666</v>
      </c>
      <c r="H38" s="162"/>
      <c r="I38" s="162">
        <f>(G38-F38)*24</f>
        <v>1.3833333333022892</v>
      </c>
      <c r="J38" s="163" t="s">
        <v>68</v>
      </c>
      <c r="K38" s="164" t="s">
        <v>68</v>
      </c>
      <c r="L38" s="164" t="s">
        <v>68</v>
      </c>
      <c r="M38" s="165" t="s">
        <v>69</v>
      </c>
      <c r="N38" s="161" t="s">
        <v>87</v>
      </c>
      <c r="O38" s="109">
        <f t="shared" si="7"/>
      </c>
      <c r="P38" s="109">
        <f t="shared" si="8"/>
      </c>
      <c r="Q38" s="109">
        <f t="shared" si="9"/>
        <v>1</v>
      </c>
      <c r="R38" s="110">
        <f>SUM(O38:Q38)</f>
        <v>1</v>
      </c>
      <c r="S38" s="111"/>
      <c r="T38" s="111"/>
      <c r="U38" s="111"/>
    </row>
    <row r="39" spans="1:21" s="112" customFormat="1" ht="12.75">
      <c r="A39" s="113">
        <v>26</v>
      </c>
      <c r="B39" s="114">
        <v>44742.566666666666</v>
      </c>
      <c r="C39" s="114">
        <v>44744.07777777778</v>
      </c>
      <c r="D39" s="115">
        <f>(C39-B39)*24</f>
        <v>36.266666666662786</v>
      </c>
      <c r="E39" s="114" t="s">
        <v>79</v>
      </c>
      <c r="F39" s="114">
        <v>44744.07777777778</v>
      </c>
      <c r="G39" s="114">
        <v>44744.10486111111</v>
      </c>
      <c r="H39" s="115">
        <f>(G39-F39)*24</f>
        <v>0.6500000000232831</v>
      </c>
      <c r="I39" s="115">
        <f>(G39-F39)*24</f>
        <v>0.6500000000232831</v>
      </c>
      <c r="J39" s="116" t="s">
        <v>21</v>
      </c>
      <c r="K39" s="117" t="s">
        <v>21</v>
      </c>
      <c r="L39" s="117" t="s">
        <v>21</v>
      </c>
      <c r="M39" s="118" t="s">
        <v>15</v>
      </c>
      <c r="N39" s="114"/>
      <c r="O39" s="109">
        <f t="shared" si="7"/>
        <v>1</v>
      </c>
      <c r="P39" s="109">
        <f t="shared" si="8"/>
      </c>
      <c r="Q39" s="109">
        <f t="shared" si="9"/>
      </c>
      <c r="R39" s="110">
        <f t="shared" si="4"/>
        <v>1</v>
      </c>
      <c r="S39" s="111"/>
      <c r="T39" s="111"/>
      <c r="U39" s="111"/>
    </row>
    <row r="40" spans="1:21" s="101" customFormat="1" ht="15.75" customHeight="1">
      <c r="A40" s="104">
        <v>27</v>
      </c>
      <c r="B40" s="105">
        <v>44744.10486111111</v>
      </c>
      <c r="C40" s="105">
        <v>44746.333333333336</v>
      </c>
      <c r="D40" s="129">
        <f>(C40-B40)*24</f>
        <v>53.48333333339542</v>
      </c>
      <c r="E40" s="105" t="s">
        <v>66</v>
      </c>
      <c r="F40" s="105"/>
      <c r="G40" s="105"/>
      <c r="H40" s="129">
        <f>(G40-F40)*24</f>
        <v>0</v>
      </c>
      <c r="I40" s="129">
        <f>(G40-F40)*24</f>
        <v>0</v>
      </c>
      <c r="J40" s="106"/>
      <c r="K40" s="107"/>
      <c r="L40" s="107"/>
      <c r="M40" s="108" t="s">
        <v>19</v>
      </c>
      <c r="N40" s="105"/>
      <c r="O40" s="109">
        <f t="shared" si="7"/>
      </c>
      <c r="P40" s="109">
        <f t="shared" si="8"/>
        <v>1</v>
      </c>
      <c r="Q40" s="109">
        <f t="shared" si="9"/>
      </c>
      <c r="R40" s="110">
        <f t="shared" si="4"/>
        <v>1</v>
      </c>
      <c r="S40" s="100"/>
      <c r="T40" s="100"/>
      <c r="U40" s="100"/>
    </row>
    <row r="41" spans="1:21" s="128" customFormat="1" ht="12.75">
      <c r="A41" s="119"/>
      <c r="B41" s="120"/>
      <c r="C41" s="120"/>
      <c r="D41" s="121">
        <f>SUM(D36:D40)</f>
        <v>117.46666666661622</v>
      </c>
      <c r="E41" s="122"/>
      <c r="F41" s="123"/>
      <c r="G41" s="123"/>
      <c r="H41" s="124">
        <f>SUM(H36:H40)</f>
        <v>2.53333333338378</v>
      </c>
      <c r="I41" s="124">
        <f>SUM(I36:I40)</f>
        <v>2.53333333338378</v>
      </c>
      <c r="J41" s="125"/>
      <c r="K41" s="126"/>
      <c r="L41" s="126"/>
      <c r="M41" s="127"/>
      <c r="N41" s="122"/>
      <c r="O41" s="109">
        <f t="shared" si="7"/>
      </c>
      <c r="P41" s="109">
        <f t="shared" si="8"/>
      </c>
      <c r="Q41" s="109">
        <f t="shared" si="9"/>
      </c>
      <c r="R41" s="110">
        <f t="shared" si="4"/>
        <v>0</v>
      </c>
      <c r="S41" s="30"/>
      <c r="T41" s="30"/>
      <c r="U41" s="30"/>
    </row>
    <row r="42" spans="1:21" s="112" customFormat="1" ht="12.75">
      <c r="A42" s="113">
        <v>28</v>
      </c>
      <c r="B42" s="114">
        <v>44747.333333333336</v>
      </c>
      <c r="C42" s="114">
        <v>44748.74236111111</v>
      </c>
      <c r="D42" s="115">
        <f>(C42-B42)*24</f>
        <v>33.81666666653473</v>
      </c>
      <c r="E42" s="114" t="s">
        <v>79</v>
      </c>
      <c r="F42" s="114">
        <v>44748.74236111111</v>
      </c>
      <c r="G42" s="114">
        <v>44748.83819444444</v>
      </c>
      <c r="H42" s="115">
        <f>(G42-F42)*24</f>
        <v>2.2999999999883585</v>
      </c>
      <c r="I42" s="115"/>
      <c r="J42" s="116"/>
      <c r="K42" s="117"/>
      <c r="L42" s="117"/>
      <c r="M42" s="118"/>
      <c r="N42" s="114"/>
      <c r="O42" s="109">
        <f t="shared" si="7"/>
      </c>
      <c r="P42" s="109">
        <f t="shared" si="8"/>
      </c>
      <c r="Q42" s="109">
        <f t="shared" si="9"/>
      </c>
      <c r="R42" s="110">
        <f t="shared" si="4"/>
        <v>0</v>
      </c>
      <c r="S42" s="111"/>
      <c r="T42" s="111"/>
      <c r="U42" s="111"/>
    </row>
    <row r="43" spans="1:21" s="112" customFormat="1" ht="12.75">
      <c r="A43" s="113"/>
      <c r="B43" s="114"/>
      <c r="C43" s="114"/>
      <c r="D43" s="115"/>
      <c r="E43" s="114"/>
      <c r="F43" s="156">
        <v>44748.74236111111</v>
      </c>
      <c r="G43" s="156">
        <v>44748.79652777778</v>
      </c>
      <c r="H43" s="157"/>
      <c r="I43" s="157">
        <f>(G43-F43)*24</f>
        <v>1.3000000000465661</v>
      </c>
      <c r="J43" s="158" t="s">
        <v>21</v>
      </c>
      <c r="K43" s="159" t="s">
        <v>21</v>
      </c>
      <c r="L43" s="159" t="s">
        <v>21</v>
      </c>
      <c r="M43" s="160" t="s">
        <v>15</v>
      </c>
      <c r="N43" s="156"/>
      <c r="O43" s="109">
        <f t="shared" si="7"/>
        <v>1</v>
      </c>
      <c r="P43" s="109">
        <f t="shared" si="8"/>
      </c>
      <c r="Q43" s="109">
        <f t="shared" si="9"/>
      </c>
      <c r="R43" s="110">
        <f>SUM(O43:Q43)</f>
        <v>1</v>
      </c>
      <c r="S43" s="111"/>
      <c r="T43" s="111"/>
      <c r="U43" s="111"/>
    </row>
    <row r="44" spans="1:21" s="112" customFormat="1" ht="12.75">
      <c r="A44" s="113"/>
      <c r="B44" s="114"/>
      <c r="C44" s="114"/>
      <c r="D44" s="115"/>
      <c r="E44" s="114"/>
      <c r="F44" s="161">
        <v>44748.79652777778</v>
      </c>
      <c r="G44" s="161">
        <v>44748.83819444444</v>
      </c>
      <c r="H44" s="162"/>
      <c r="I44" s="162">
        <f>(G44-F44)*24</f>
        <v>0.9999999999417923</v>
      </c>
      <c r="J44" s="163" t="s">
        <v>63</v>
      </c>
      <c r="K44" s="164" t="s">
        <v>63</v>
      </c>
      <c r="L44" s="164" t="s">
        <v>63</v>
      </c>
      <c r="M44" s="165" t="s">
        <v>69</v>
      </c>
      <c r="N44" s="161"/>
      <c r="O44" s="109">
        <f t="shared" si="7"/>
      </c>
      <c r="P44" s="109">
        <f t="shared" si="8"/>
      </c>
      <c r="Q44" s="109">
        <f t="shared" si="9"/>
        <v>1</v>
      </c>
      <c r="R44" s="110">
        <f>SUM(O44:Q44)</f>
        <v>1</v>
      </c>
      <c r="S44" s="111"/>
      <c r="T44" s="111"/>
      <c r="U44" s="111"/>
    </row>
    <row r="45" spans="1:21" s="101" customFormat="1" ht="15.75" customHeight="1">
      <c r="A45" s="104">
        <v>29</v>
      </c>
      <c r="B45" s="105">
        <v>44748.83819444444</v>
      </c>
      <c r="C45" s="105">
        <v>44749.322222222225</v>
      </c>
      <c r="D45" s="129">
        <f>(C45-B45)*24</f>
        <v>11.616666666814126</v>
      </c>
      <c r="E45" s="105" t="s">
        <v>90</v>
      </c>
      <c r="F45" s="105">
        <v>44749.322222222225</v>
      </c>
      <c r="G45" s="105">
        <v>44749.34652777778</v>
      </c>
      <c r="H45" s="129">
        <f>(G45-F45)*24</f>
        <v>0.5833333333139308</v>
      </c>
      <c r="I45" s="129">
        <f>(G45-F45)*24</f>
        <v>0.5833333333139308</v>
      </c>
      <c r="J45" s="106" t="s">
        <v>68</v>
      </c>
      <c r="K45" s="107" t="s">
        <v>68</v>
      </c>
      <c r="L45" s="107" t="s">
        <v>68</v>
      </c>
      <c r="M45" s="108" t="s">
        <v>15</v>
      </c>
      <c r="N45" s="105"/>
      <c r="O45" s="109">
        <f t="shared" si="7"/>
        <v>1</v>
      </c>
      <c r="P45" s="109">
        <f t="shared" si="8"/>
      </c>
      <c r="Q45" s="109">
        <f t="shared" si="9"/>
      </c>
      <c r="R45" s="110">
        <f t="shared" si="4"/>
        <v>1</v>
      </c>
      <c r="S45" s="100"/>
      <c r="T45" s="100"/>
      <c r="U45" s="100"/>
    </row>
    <row r="46" spans="1:21" s="112" customFormat="1" ht="12.75">
      <c r="A46" s="113">
        <v>30</v>
      </c>
      <c r="B46" s="114">
        <v>44749.34652777778</v>
      </c>
      <c r="C46" s="114">
        <v>44751.64444444444</v>
      </c>
      <c r="D46" s="115">
        <f>(C46-B46)*24</f>
        <v>55.14999999990687</v>
      </c>
      <c r="E46" s="114" t="s">
        <v>88</v>
      </c>
      <c r="F46" s="114">
        <v>44751.64444444444</v>
      </c>
      <c r="G46" s="114">
        <v>44751.82708333333</v>
      </c>
      <c r="H46" s="115">
        <f>(G46-F46)*24</f>
        <v>4.383333333302289</v>
      </c>
      <c r="I46" s="115">
        <f>(G46-F46)*24</f>
        <v>4.383333333302289</v>
      </c>
      <c r="J46" s="116" t="s">
        <v>65</v>
      </c>
      <c r="K46" s="117" t="s">
        <v>65</v>
      </c>
      <c r="L46" s="117" t="s">
        <v>65</v>
      </c>
      <c r="M46" s="118" t="s">
        <v>15</v>
      </c>
      <c r="N46" s="114"/>
      <c r="O46" s="109">
        <f t="shared" si="7"/>
        <v>1</v>
      </c>
      <c r="P46" s="109">
        <f t="shared" si="8"/>
      </c>
      <c r="Q46" s="109">
        <f t="shared" si="9"/>
      </c>
      <c r="R46" s="110">
        <f t="shared" si="4"/>
        <v>1</v>
      </c>
      <c r="S46" s="111"/>
      <c r="T46" s="111"/>
      <c r="U46" s="111"/>
    </row>
    <row r="47" spans="1:21" s="101" customFormat="1" ht="15.75" customHeight="1">
      <c r="A47" s="104">
        <v>31</v>
      </c>
      <c r="B47" s="105">
        <v>44751.82708333333</v>
      </c>
      <c r="C47" s="105">
        <v>44753.333333333336</v>
      </c>
      <c r="D47" s="129">
        <f>(C47-B47)*24</f>
        <v>36.1500000001397</v>
      </c>
      <c r="E47" s="105" t="s">
        <v>66</v>
      </c>
      <c r="F47" s="105"/>
      <c r="G47" s="105"/>
      <c r="H47" s="129">
        <f>(G47-F47)*24</f>
        <v>0</v>
      </c>
      <c r="I47" s="129">
        <f>(G47-F47)*24</f>
        <v>0</v>
      </c>
      <c r="J47" s="106"/>
      <c r="K47" s="107"/>
      <c r="L47" s="107"/>
      <c r="M47" s="108" t="s">
        <v>19</v>
      </c>
      <c r="N47" s="105"/>
      <c r="O47" s="109">
        <f t="shared" si="7"/>
      </c>
      <c r="P47" s="109">
        <f t="shared" si="8"/>
        <v>1</v>
      </c>
      <c r="Q47" s="109">
        <f t="shared" si="9"/>
      </c>
      <c r="R47" s="110">
        <f>SUM(O47:Q47)</f>
        <v>1</v>
      </c>
      <c r="S47" s="100"/>
      <c r="T47" s="100"/>
      <c r="U47" s="100"/>
    </row>
    <row r="48" spans="1:21" s="128" customFormat="1" ht="12.75">
      <c r="A48" s="119"/>
      <c r="B48" s="120"/>
      <c r="C48" s="120"/>
      <c r="D48" s="121">
        <f>SUM(D42:D47)</f>
        <v>136.73333333339542</v>
      </c>
      <c r="E48" s="122"/>
      <c r="F48" s="123"/>
      <c r="G48" s="123"/>
      <c r="H48" s="124">
        <f>SUM(H42:H47)</f>
        <v>7.2666666666045785</v>
      </c>
      <c r="I48" s="124">
        <f>SUM(I42:I47)</f>
        <v>7.2666666666045785</v>
      </c>
      <c r="J48" s="125"/>
      <c r="K48" s="126"/>
      <c r="L48" s="126"/>
      <c r="M48" s="127"/>
      <c r="N48" s="122"/>
      <c r="O48" s="109">
        <f t="shared" si="7"/>
      </c>
      <c r="P48" s="109">
        <f t="shared" si="8"/>
      </c>
      <c r="Q48" s="109">
        <f t="shared" si="9"/>
      </c>
      <c r="R48" s="110">
        <f t="shared" si="4"/>
        <v>0</v>
      </c>
      <c r="S48" s="30"/>
      <c r="T48" s="30"/>
      <c r="U48" s="30"/>
    </row>
    <row r="49" spans="1:21" s="112" customFormat="1" ht="12.75">
      <c r="A49" s="113">
        <v>32</v>
      </c>
      <c r="B49" s="114">
        <v>44755.333333333336</v>
      </c>
      <c r="C49" s="114">
        <v>44758.83263888889</v>
      </c>
      <c r="D49" s="115">
        <f>(C49-B49)*24</f>
        <v>83.983333333279</v>
      </c>
      <c r="E49" s="114" t="s">
        <v>89</v>
      </c>
      <c r="F49" s="114">
        <v>44758.83263888889</v>
      </c>
      <c r="G49" s="114">
        <v>44759.225694444445</v>
      </c>
      <c r="H49" s="115">
        <f>(G49-F49)*24</f>
        <v>9.433333333348855</v>
      </c>
      <c r="I49" s="115"/>
      <c r="J49" s="116"/>
      <c r="K49" s="117"/>
      <c r="L49" s="117"/>
      <c r="M49" s="118"/>
      <c r="N49" s="114"/>
      <c r="O49" s="109">
        <f t="shared" si="7"/>
      </c>
      <c r="P49" s="109">
        <f t="shared" si="8"/>
      </c>
      <c r="Q49" s="109">
        <f t="shared" si="9"/>
      </c>
      <c r="R49" s="110">
        <f t="shared" si="4"/>
        <v>0</v>
      </c>
      <c r="S49" s="111"/>
      <c r="T49" s="111"/>
      <c r="U49" s="111"/>
    </row>
    <row r="50" spans="1:21" s="112" customFormat="1" ht="12.75">
      <c r="A50" s="113"/>
      <c r="B50" s="114"/>
      <c r="C50" s="114"/>
      <c r="D50" s="115"/>
      <c r="E50" s="114"/>
      <c r="F50" s="156">
        <v>44758.83263888889</v>
      </c>
      <c r="G50" s="156">
        <v>44759.131944444445</v>
      </c>
      <c r="H50" s="157"/>
      <c r="I50" s="157">
        <f>(G50-F50)*24</f>
        <v>7.183333333348855</v>
      </c>
      <c r="J50" s="158" t="s">
        <v>22</v>
      </c>
      <c r="K50" s="159" t="s">
        <v>22</v>
      </c>
      <c r="L50" s="159" t="s">
        <v>22</v>
      </c>
      <c r="M50" s="160" t="s">
        <v>15</v>
      </c>
      <c r="N50" s="156"/>
      <c r="O50" s="109">
        <f t="shared" si="7"/>
        <v>1</v>
      </c>
      <c r="P50" s="109">
        <f t="shared" si="8"/>
      </c>
      <c r="Q50" s="109">
        <f t="shared" si="9"/>
      </c>
      <c r="R50" s="110">
        <f>SUM(O50:Q50)</f>
        <v>1</v>
      </c>
      <c r="S50" s="111"/>
      <c r="T50" s="111"/>
      <c r="U50" s="111"/>
    </row>
    <row r="51" spans="1:21" s="112" customFormat="1" ht="12.75">
      <c r="A51" s="113"/>
      <c r="B51" s="114"/>
      <c r="C51" s="114"/>
      <c r="D51" s="115"/>
      <c r="E51" s="114"/>
      <c r="F51" s="161">
        <v>44759.131944444445</v>
      </c>
      <c r="G51" s="161">
        <v>44759.225694444445</v>
      </c>
      <c r="H51" s="162"/>
      <c r="I51" s="162">
        <f>(G51-F51)*24</f>
        <v>2.25</v>
      </c>
      <c r="J51" s="163" t="s">
        <v>20</v>
      </c>
      <c r="K51" s="164" t="s">
        <v>20</v>
      </c>
      <c r="L51" s="164" t="s">
        <v>20</v>
      </c>
      <c r="M51" s="165" t="s">
        <v>69</v>
      </c>
      <c r="N51" s="161"/>
      <c r="O51" s="109">
        <f t="shared" si="7"/>
      </c>
      <c r="P51" s="109">
        <f t="shared" si="8"/>
      </c>
      <c r="Q51" s="109">
        <f t="shared" si="9"/>
        <v>1</v>
      </c>
      <c r="R51" s="110">
        <f>SUM(O51:Q51)</f>
        <v>1</v>
      </c>
      <c r="S51" s="111"/>
      <c r="T51" s="111"/>
      <c r="U51" s="111"/>
    </row>
    <row r="52" spans="1:21" s="101" customFormat="1" ht="15.75" customHeight="1">
      <c r="A52" s="104">
        <v>33</v>
      </c>
      <c r="B52" s="105">
        <v>44759.225694444445</v>
      </c>
      <c r="C52" s="105">
        <v>44760.333333333336</v>
      </c>
      <c r="D52" s="129">
        <f>(C52-B52)*24</f>
        <v>26.58333333337214</v>
      </c>
      <c r="E52" s="105" t="s">
        <v>66</v>
      </c>
      <c r="F52" s="105"/>
      <c r="G52" s="105"/>
      <c r="H52" s="129">
        <f>(G52-F52)*24</f>
        <v>0</v>
      </c>
      <c r="I52" s="129">
        <f>(G52-F52)*24</f>
        <v>0</v>
      </c>
      <c r="J52" s="106"/>
      <c r="K52" s="107"/>
      <c r="L52" s="107"/>
      <c r="M52" s="108" t="s">
        <v>19</v>
      </c>
      <c r="N52" s="105"/>
      <c r="O52" s="109">
        <f t="shared" si="7"/>
      </c>
      <c r="P52" s="109">
        <f t="shared" si="8"/>
        <v>1</v>
      </c>
      <c r="Q52" s="109">
        <f t="shared" si="9"/>
      </c>
      <c r="R52" s="110">
        <f t="shared" si="4"/>
        <v>1</v>
      </c>
      <c r="S52" s="100"/>
      <c r="T52" s="100"/>
      <c r="U52" s="100"/>
    </row>
    <row r="53" spans="1:21" s="128" customFormat="1" ht="12.75">
      <c r="A53" s="119"/>
      <c r="B53" s="120"/>
      <c r="C53" s="120"/>
      <c r="D53" s="121">
        <f>SUM(D49:D52)</f>
        <v>110.56666666665114</v>
      </c>
      <c r="E53" s="122"/>
      <c r="F53" s="123"/>
      <c r="G53" s="123"/>
      <c r="H53" s="124">
        <f>SUM(H49:H52)</f>
        <v>9.433333333348855</v>
      </c>
      <c r="I53" s="124">
        <f>SUM(I49:I52)</f>
        <v>9.433333333348855</v>
      </c>
      <c r="J53" s="125"/>
      <c r="K53" s="126"/>
      <c r="L53" s="126"/>
      <c r="M53" s="127"/>
      <c r="N53" s="122"/>
      <c r="O53" s="109">
        <f t="shared" si="7"/>
      </c>
      <c r="P53" s="109">
        <f t="shared" si="8"/>
      </c>
      <c r="Q53" s="109">
        <f t="shared" si="9"/>
      </c>
      <c r="R53" s="110">
        <f t="shared" si="4"/>
        <v>0</v>
      </c>
      <c r="S53" s="30"/>
      <c r="T53" s="30"/>
      <c r="U53" s="30"/>
    </row>
    <row r="54" spans="1:21" s="112" customFormat="1" ht="12.75">
      <c r="A54" s="113">
        <v>34</v>
      </c>
      <c r="B54" s="114">
        <v>44761.333333333336</v>
      </c>
      <c r="C54" s="114">
        <v>44764.407638888886</v>
      </c>
      <c r="D54" s="115">
        <f>(C54-B54)*24</f>
        <v>73.78333333320916</v>
      </c>
      <c r="E54" s="114"/>
      <c r="F54" s="114">
        <v>44764.407638888886</v>
      </c>
      <c r="G54" s="114">
        <v>44764.43263888889</v>
      </c>
      <c r="H54" s="115">
        <f>(G54-F54)*24</f>
        <v>0.6000000000349246</v>
      </c>
      <c r="I54" s="115">
        <f>(G54-F54)*24</f>
        <v>0.6000000000349246</v>
      </c>
      <c r="J54" s="116" t="s">
        <v>21</v>
      </c>
      <c r="K54" s="117" t="s">
        <v>21</v>
      </c>
      <c r="L54" s="117" t="s">
        <v>21</v>
      </c>
      <c r="M54" s="118" t="s">
        <v>15</v>
      </c>
      <c r="N54" s="114"/>
      <c r="O54" s="109">
        <f t="shared" si="7"/>
        <v>1</v>
      </c>
      <c r="P54" s="109">
        <f t="shared" si="8"/>
      </c>
      <c r="Q54" s="109">
        <f t="shared" si="9"/>
      </c>
      <c r="R54" s="110">
        <f>SUM(O54:Q54)</f>
        <v>1</v>
      </c>
      <c r="S54" s="111"/>
      <c r="T54" s="111"/>
      <c r="U54" s="111"/>
    </row>
    <row r="55" spans="1:21" s="101" customFormat="1" ht="15.75" customHeight="1">
      <c r="A55" s="104">
        <v>35</v>
      </c>
      <c r="B55" s="105">
        <v>44764.43263888889</v>
      </c>
      <c r="C55" s="105">
        <v>44767.333333333336</v>
      </c>
      <c r="D55" s="129">
        <f>(C55-B55)*24</f>
        <v>69.61666666675592</v>
      </c>
      <c r="E55" s="105" t="s">
        <v>66</v>
      </c>
      <c r="F55" s="105"/>
      <c r="G55" s="105"/>
      <c r="H55" s="129">
        <f>(G55-F55)*24</f>
        <v>0</v>
      </c>
      <c r="I55" s="129">
        <f>(G55-F55)*24</f>
        <v>0</v>
      </c>
      <c r="J55" s="106"/>
      <c r="K55" s="107"/>
      <c r="L55" s="107"/>
      <c r="M55" s="108" t="s">
        <v>19</v>
      </c>
      <c r="N55" s="105"/>
      <c r="O55" s="109">
        <f t="shared" si="7"/>
      </c>
      <c r="P55" s="109">
        <f t="shared" si="8"/>
        <v>1</v>
      </c>
      <c r="Q55" s="109">
        <f t="shared" si="9"/>
      </c>
      <c r="R55" s="110">
        <f>SUM(O55:Q55)</f>
        <v>1</v>
      </c>
      <c r="S55" s="100"/>
      <c r="T55" s="100"/>
      <c r="U55" s="100"/>
    </row>
    <row r="56" spans="1:21" s="128" customFormat="1" ht="12.75">
      <c r="A56" s="119"/>
      <c r="B56" s="120"/>
      <c r="C56" s="120"/>
      <c r="D56" s="121">
        <f>SUM(D54:D55)</f>
        <v>143.39999999996508</v>
      </c>
      <c r="E56" s="122"/>
      <c r="F56" s="123"/>
      <c r="G56" s="123"/>
      <c r="H56" s="124">
        <f>SUM(H54:H55)</f>
        <v>0.6000000000349246</v>
      </c>
      <c r="I56" s="124">
        <f>SUM(I54:I55)</f>
        <v>0.6000000000349246</v>
      </c>
      <c r="J56" s="125"/>
      <c r="K56" s="126"/>
      <c r="L56" s="126"/>
      <c r="M56" s="127"/>
      <c r="N56" s="122"/>
      <c r="O56" s="109">
        <f t="shared" si="7"/>
      </c>
      <c r="P56" s="109">
        <f t="shared" si="8"/>
      </c>
      <c r="Q56" s="109">
        <f t="shared" si="9"/>
      </c>
      <c r="R56" s="110">
        <f>SUM(O56:Q56)</f>
        <v>0</v>
      </c>
      <c r="S56" s="30"/>
      <c r="T56" s="30"/>
      <c r="U56" s="30"/>
    </row>
    <row r="57" spans="1:21" s="101" customFormat="1" ht="15.75" customHeight="1">
      <c r="A57" s="104">
        <v>36</v>
      </c>
      <c r="B57" s="105">
        <v>44768.333333333336</v>
      </c>
      <c r="C57" s="105">
        <v>44769.322916666664</v>
      </c>
      <c r="D57" s="129">
        <f>(C57-B57)*24</f>
        <v>23.749999999883585</v>
      </c>
      <c r="E57" s="105" t="s">
        <v>91</v>
      </c>
      <c r="F57" s="105">
        <v>44769.322916666664</v>
      </c>
      <c r="G57" s="105">
        <v>44769.347916666666</v>
      </c>
      <c r="H57" s="129">
        <f>(G57-F57)*24</f>
        <v>0.6000000000349246</v>
      </c>
      <c r="I57" s="151">
        <f aca="true" t="shared" si="10" ref="I57:I65">(G57-F57)*24</f>
        <v>0.6000000000349246</v>
      </c>
      <c r="J57" s="106" t="s">
        <v>68</v>
      </c>
      <c r="K57" s="107" t="s">
        <v>68</v>
      </c>
      <c r="L57" s="107" t="s">
        <v>68</v>
      </c>
      <c r="M57" s="108" t="s">
        <v>15</v>
      </c>
      <c r="N57" s="105"/>
      <c r="O57" s="109">
        <f t="shared" si="7"/>
        <v>1</v>
      </c>
      <c r="P57" s="109">
        <f t="shared" si="8"/>
      </c>
      <c r="Q57" s="109">
        <f t="shared" si="9"/>
      </c>
      <c r="R57" s="110">
        <f t="shared" si="4"/>
        <v>1</v>
      </c>
      <c r="S57" s="100"/>
      <c r="T57" s="100"/>
      <c r="U57" s="100"/>
    </row>
    <row r="58" spans="1:21" s="112" customFormat="1" ht="12.75">
      <c r="A58" s="113">
        <v>37</v>
      </c>
      <c r="B58" s="114">
        <v>44769.347916666666</v>
      </c>
      <c r="C58" s="114">
        <v>44769.822222222225</v>
      </c>
      <c r="D58" s="115">
        <f>(C58-B58)*24</f>
        <v>11.383333333418705</v>
      </c>
      <c r="E58" s="114" t="s">
        <v>92</v>
      </c>
      <c r="F58" s="114">
        <v>44769.822222222225</v>
      </c>
      <c r="G58" s="114">
        <v>44769.87986111111</v>
      </c>
      <c r="H58" s="115">
        <f>(G58-F58)*24</f>
        <v>1.3833333333022892</v>
      </c>
      <c r="I58" s="115"/>
      <c r="J58" s="116"/>
      <c r="K58" s="117"/>
      <c r="L58" s="117"/>
      <c r="M58" s="118"/>
      <c r="N58" s="114"/>
      <c r="O58" s="109">
        <f t="shared" si="7"/>
      </c>
      <c r="P58" s="109">
        <f t="shared" si="8"/>
      </c>
      <c r="Q58" s="109">
        <f t="shared" si="9"/>
      </c>
      <c r="R58" s="110">
        <f aca="true" t="shared" si="11" ref="R58:R66">SUM(O58:Q58)</f>
        <v>0</v>
      </c>
      <c r="S58" s="111"/>
      <c r="T58" s="111"/>
      <c r="U58" s="111"/>
    </row>
    <row r="59" spans="1:21" s="112" customFormat="1" ht="12.75">
      <c r="A59" s="113"/>
      <c r="B59" s="114"/>
      <c r="C59" s="114"/>
      <c r="D59" s="115"/>
      <c r="E59" s="114"/>
      <c r="F59" s="156">
        <v>44769.822222222225</v>
      </c>
      <c r="G59" s="156">
        <v>44769.84861111111</v>
      </c>
      <c r="H59" s="157"/>
      <c r="I59" s="157">
        <f>(G59-F59)*24</f>
        <v>0.6333333333022892</v>
      </c>
      <c r="J59" s="158" t="s">
        <v>68</v>
      </c>
      <c r="K59" s="159" t="s">
        <v>68</v>
      </c>
      <c r="L59" s="159" t="s">
        <v>68</v>
      </c>
      <c r="M59" s="160" t="s">
        <v>15</v>
      </c>
      <c r="N59" s="156"/>
      <c r="O59" s="109">
        <f t="shared" si="7"/>
        <v>1</v>
      </c>
      <c r="P59" s="109">
        <f t="shared" si="8"/>
      </c>
      <c r="Q59" s="109">
        <f t="shared" si="9"/>
      </c>
      <c r="R59" s="110">
        <f t="shared" si="11"/>
        <v>1</v>
      </c>
      <c r="S59" s="111"/>
      <c r="T59" s="111"/>
      <c r="U59" s="111"/>
    </row>
    <row r="60" spans="1:21" s="112" customFormat="1" ht="12.75">
      <c r="A60" s="113"/>
      <c r="B60" s="114"/>
      <c r="C60" s="114"/>
      <c r="D60" s="115"/>
      <c r="E60" s="114"/>
      <c r="F60" s="161">
        <v>44769.84861111111</v>
      </c>
      <c r="G60" s="161">
        <v>44769.87986111111</v>
      </c>
      <c r="H60" s="162"/>
      <c r="I60" s="162">
        <f>(G60-F60)*24</f>
        <v>0.75</v>
      </c>
      <c r="J60" s="163" t="s">
        <v>67</v>
      </c>
      <c r="K60" s="164" t="s">
        <v>67</v>
      </c>
      <c r="L60" s="164" t="s">
        <v>67</v>
      </c>
      <c r="M60" s="165" t="s">
        <v>69</v>
      </c>
      <c r="N60" s="161"/>
      <c r="O60" s="109">
        <f t="shared" si="7"/>
      </c>
      <c r="P60" s="109">
        <f t="shared" si="8"/>
      </c>
      <c r="Q60" s="109">
        <f t="shared" si="9"/>
        <v>1</v>
      </c>
      <c r="R60" s="110">
        <f t="shared" si="11"/>
        <v>1</v>
      </c>
      <c r="S60" s="111"/>
      <c r="T60" s="111"/>
      <c r="U60" s="111"/>
    </row>
    <row r="61" spans="1:21" s="101" customFormat="1" ht="15.75" customHeight="1">
      <c r="A61" s="104">
        <v>38</v>
      </c>
      <c r="B61" s="105">
        <v>44769.87986111111</v>
      </c>
      <c r="C61" s="105">
        <v>44770.322916666664</v>
      </c>
      <c r="D61" s="129">
        <f>(C61-B61)*24</f>
        <v>10.633333333244082</v>
      </c>
      <c r="E61" s="105" t="s">
        <v>92</v>
      </c>
      <c r="F61" s="105">
        <v>44770.322916666664</v>
      </c>
      <c r="G61" s="105">
        <v>44770.345138888886</v>
      </c>
      <c r="H61" s="129">
        <f>(G61-F61)*24</f>
        <v>0.5333333333255723</v>
      </c>
      <c r="I61" s="151">
        <f t="shared" si="10"/>
        <v>0.5333333333255723</v>
      </c>
      <c r="J61" s="106" t="s">
        <v>68</v>
      </c>
      <c r="K61" s="107" t="s">
        <v>68</v>
      </c>
      <c r="L61" s="107" t="s">
        <v>68</v>
      </c>
      <c r="M61" s="108" t="s">
        <v>15</v>
      </c>
      <c r="N61" s="105"/>
      <c r="O61" s="109">
        <f t="shared" si="7"/>
        <v>1</v>
      </c>
      <c r="P61" s="109">
        <f t="shared" si="8"/>
      </c>
      <c r="Q61" s="109">
        <f t="shared" si="9"/>
      </c>
      <c r="R61" s="110">
        <f t="shared" si="11"/>
        <v>1</v>
      </c>
      <c r="S61" s="100"/>
      <c r="T61" s="100"/>
      <c r="U61" s="100"/>
    </row>
    <row r="62" spans="1:21" s="112" customFormat="1" ht="12.75">
      <c r="A62" s="113">
        <v>39</v>
      </c>
      <c r="B62" s="114">
        <v>44770.345138888886</v>
      </c>
      <c r="C62" s="114">
        <v>44772.154861111114</v>
      </c>
      <c r="D62" s="115">
        <f>(C62-B62)*24</f>
        <v>43.43333333346527</v>
      </c>
      <c r="E62" s="114" t="s">
        <v>93</v>
      </c>
      <c r="F62" s="114">
        <v>44772.154861111114</v>
      </c>
      <c r="G62" s="114">
        <v>44772.18680555555</v>
      </c>
      <c r="H62" s="115">
        <f>(G62-F62)*24</f>
        <v>0.7666666665463708</v>
      </c>
      <c r="I62" s="115">
        <f t="shared" si="10"/>
        <v>0.7666666665463708</v>
      </c>
      <c r="J62" s="116" t="s">
        <v>21</v>
      </c>
      <c r="K62" s="117" t="s">
        <v>21</v>
      </c>
      <c r="L62" s="117" t="s">
        <v>21</v>
      </c>
      <c r="M62" s="118" t="s">
        <v>15</v>
      </c>
      <c r="N62" s="114"/>
      <c r="O62" s="109">
        <f t="shared" si="7"/>
        <v>1</v>
      </c>
      <c r="P62" s="109">
        <f t="shared" si="8"/>
      </c>
      <c r="Q62" s="109">
        <f t="shared" si="9"/>
      </c>
      <c r="R62" s="110">
        <f t="shared" si="11"/>
        <v>1</v>
      </c>
      <c r="S62" s="111"/>
      <c r="T62" s="111"/>
      <c r="U62" s="111"/>
    </row>
    <row r="63" spans="1:21" s="101" customFormat="1" ht="15.75" customHeight="1">
      <c r="A63" s="104">
        <v>40</v>
      </c>
      <c r="B63" s="105">
        <v>44772.18680555555</v>
      </c>
      <c r="C63" s="105">
        <v>44772.90138888889</v>
      </c>
      <c r="D63" s="129">
        <f>(C63-B63)*24</f>
        <v>17.150000000023283</v>
      </c>
      <c r="E63" s="105" t="s">
        <v>94</v>
      </c>
      <c r="F63" s="105">
        <v>44772.90138888889</v>
      </c>
      <c r="G63" s="105">
        <v>44773.09722222222</v>
      </c>
      <c r="H63" s="129">
        <f>(G63-F63)*24</f>
        <v>4.699999999953434</v>
      </c>
      <c r="I63" s="129">
        <f t="shared" si="10"/>
        <v>4.699999999953434</v>
      </c>
      <c r="J63" s="106" t="s">
        <v>22</v>
      </c>
      <c r="K63" s="107" t="s">
        <v>22</v>
      </c>
      <c r="L63" s="107" t="s">
        <v>22</v>
      </c>
      <c r="M63" s="108" t="s">
        <v>15</v>
      </c>
      <c r="N63" s="105"/>
      <c r="O63" s="109">
        <f t="shared" si="7"/>
        <v>1</v>
      </c>
      <c r="P63" s="109">
        <f t="shared" si="8"/>
      </c>
      <c r="Q63" s="109">
        <f t="shared" si="9"/>
      </c>
      <c r="R63" s="110">
        <f t="shared" si="11"/>
        <v>1</v>
      </c>
      <c r="S63" s="100"/>
      <c r="T63" s="100"/>
      <c r="U63" s="100"/>
    </row>
    <row r="64" spans="1:21" s="101" customFormat="1" ht="15.75" customHeight="1">
      <c r="A64" s="113">
        <v>41</v>
      </c>
      <c r="B64" s="114">
        <v>44773.09722222222</v>
      </c>
      <c r="C64" s="114">
        <v>44773.322916666664</v>
      </c>
      <c r="D64" s="115">
        <f>(C64-B64)*24</f>
        <v>5.416666666686069</v>
      </c>
      <c r="E64" s="114" t="s">
        <v>95</v>
      </c>
      <c r="F64" s="114">
        <v>44773.322916666664</v>
      </c>
      <c r="G64" s="114">
        <v>44773.34444444445</v>
      </c>
      <c r="H64" s="115">
        <f>(G64-F64)*24</f>
        <v>0.5166666667792015</v>
      </c>
      <c r="I64" s="115">
        <f>(G64-F64)*24</f>
        <v>0.5166666667792015</v>
      </c>
      <c r="J64" s="116" t="s">
        <v>68</v>
      </c>
      <c r="K64" s="117" t="s">
        <v>68</v>
      </c>
      <c r="L64" s="117" t="s">
        <v>68</v>
      </c>
      <c r="M64" s="118" t="s">
        <v>15</v>
      </c>
      <c r="N64" s="114"/>
      <c r="O64" s="152">
        <f t="shared" si="7"/>
        <v>1</v>
      </c>
      <c r="P64" s="152">
        <f t="shared" si="8"/>
      </c>
      <c r="Q64" s="152">
        <f t="shared" si="9"/>
      </c>
      <c r="R64" s="153">
        <f t="shared" si="11"/>
        <v>1</v>
      </c>
      <c r="S64" s="100"/>
      <c r="T64" s="100"/>
      <c r="U64" s="100"/>
    </row>
    <row r="65" spans="1:21" s="112" customFormat="1" ht="12.75">
      <c r="A65" s="104">
        <v>42</v>
      </c>
      <c r="B65" s="105">
        <v>44773.34444444445</v>
      </c>
      <c r="C65" s="105">
        <v>44775</v>
      </c>
      <c r="D65" s="129">
        <f>(C65-B65)*24</f>
        <v>39.733333333279006</v>
      </c>
      <c r="E65" s="105" t="s">
        <v>66</v>
      </c>
      <c r="F65" s="105"/>
      <c r="G65" s="105"/>
      <c r="H65" s="129">
        <f>(G65-F65)*24</f>
        <v>0</v>
      </c>
      <c r="I65" s="129">
        <f t="shared" si="10"/>
        <v>0</v>
      </c>
      <c r="J65" s="106"/>
      <c r="K65" s="107"/>
      <c r="L65" s="107"/>
      <c r="M65" s="108" t="s">
        <v>19</v>
      </c>
      <c r="N65" s="105"/>
      <c r="O65" s="154">
        <f t="shared" si="7"/>
      </c>
      <c r="P65" s="154">
        <f t="shared" si="8"/>
        <v>1</v>
      </c>
      <c r="Q65" s="154">
        <f t="shared" si="9"/>
      </c>
      <c r="R65" s="155">
        <f t="shared" si="11"/>
        <v>1</v>
      </c>
      <c r="S65" s="111"/>
      <c r="T65" s="111"/>
      <c r="U65" s="111"/>
    </row>
    <row r="66" spans="1:21" s="128" customFormat="1" ht="12.75">
      <c r="A66" s="119"/>
      <c r="B66" s="120"/>
      <c r="C66" s="120"/>
      <c r="D66" s="121">
        <f>SUM(D57:D65)</f>
        <v>151.5</v>
      </c>
      <c r="E66" s="122"/>
      <c r="F66" s="123"/>
      <c r="G66" s="123"/>
      <c r="H66" s="124">
        <f>SUM(H57:H65)</f>
        <v>8.499999999941792</v>
      </c>
      <c r="I66" s="124">
        <f>SUM(I57:I65)</f>
        <v>8.499999999941792</v>
      </c>
      <c r="J66" s="125"/>
      <c r="K66" s="126"/>
      <c r="L66" s="126"/>
      <c r="M66" s="127"/>
      <c r="N66" s="122"/>
      <c r="O66" s="109">
        <f t="shared" si="7"/>
      </c>
      <c r="P66" s="109">
        <f t="shared" si="8"/>
      </c>
      <c r="Q66" s="109">
        <f t="shared" si="9"/>
      </c>
      <c r="R66" s="110">
        <f t="shared" si="11"/>
        <v>0</v>
      </c>
      <c r="S66" s="30"/>
      <c r="T66" s="30"/>
      <c r="U66" s="30"/>
    </row>
    <row r="67" spans="1:21" s="101" customFormat="1" ht="15.75" customHeight="1">
      <c r="A67" s="104">
        <v>43</v>
      </c>
      <c r="B67" s="105">
        <v>44817.333333333336</v>
      </c>
      <c r="C67" s="105">
        <v>44817.52291666667</v>
      </c>
      <c r="D67" s="129">
        <f>(C67-B67)*24</f>
        <v>4.5499999999883585</v>
      </c>
      <c r="E67" s="105" t="s">
        <v>100</v>
      </c>
      <c r="F67" s="105">
        <v>44817.52291666667</v>
      </c>
      <c r="G67" s="105">
        <v>44817.54722222222</v>
      </c>
      <c r="H67" s="129">
        <f>(G67-F67)*24</f>
        <v>0.5833333333139308</v>
      </c>
      <c r="I67" s="151">
        <f>(G67-F67)*24</f>
        <v>0.5833333333139308</v>
      </c>
      <c r="J67" s="106" t="s">
        <v>68</v>
      </c>
      <c r="K67" s="107" t="s">
        <v>68</v>
      </c>
      <c r="L67" s="107" t="s">
        <v>68</v>
      </c>
      <c r="M67" s="108" t="s">
        <v>15</v>
      </c>
      <c r="N67" s="105"/>
      <c r="O67" s="109">
        <f t="shared" si="7"/>
        <v>1</v>
      </c>
      <c r="P67" s="109">
        <f t="shared" si="8"/>
      </c>
      <c r="Q67" s="109">
        <f t="shared" si="9"/>
      </c>
      <c r="R67" s="110">
        <f aca="true" t="shared" si="12" ref="R67:R72">SUM(O67:Q67)</f>
        <v>1</v>
      </c>
      <c r="S67" s="100"/>
      <c r="T67" s="100"/>
      <c r="U67" s="100"/>
    </row>
    <row r="68" spans="1:21" s="112" customFormat="1" ht="12.75">
      <c r="A68" s="113">
        <v>44</v>
      </c>
      <c r="B68" s="105">
        <v>44817.54722222222</v>
      </c>
      <c r="C68" s="114">
        <v>44817.902083333334</v>
      </c>
      <c r="D68" s="115">
        <f>(C68-B68)*24</f>
        <v>8.516666666662786</v>
      </c>
      <c r="E68" s="114" t="s">
        <v>101</v>
      </c>
      <c r="F68" s="114">
        <v>44817.902083333334</v>
      </c>
      <c r="G68" s="114">
        <v>44818.177083333336</v>
      </c>
      <c r="H68" s="115">
        <f>(G68-F68)*24</f>
        <v>6.600000000034925</v>
      </c>
      <c r="I68" s="115">
        <f>(G68-F68)*24</f>
        <v>6.600000000034925</v>
      </c>
      <c r="J68" s="116" t="s">
        <v>104</v>
      </c>
      <c r="K68" s="117" t="s">
        <v>104</v>
      </c>
      <c r="L68" s="117" t="s">
        <v>104</v>
      </c>
      <c r="M68" s="118" t="s">
        <v>15</v>
      </c>
      <c r="N68" s="114"/>
      <c r="O68" s="109">
        <f t="shared" si="7"/>
        <v>1</v>
      </c>
      <c r="P68" s="109">
        <f t="shared" si="8"/>
      </c>
      <c r="Q68" s="109">
        <f t="shared" si="9"/>
      </c>
      <c r="R68" s="110">
        <f t="shared" si="12"/>
        <v>1</v>
      </c>
      <c r="S68" s="111"/>
      <c r="T68" s="111"/>
      <c r="U68" s="111"/>
    </row>
    <row r="69" spans="1:21" s="101" customFormat="1" ht="15.75" customHeight="1">
      <c r="A69" s="104">
        <v>45</v>
      </c>
      <c r="B69" s="114">
        <v>44818.177083333336</v>
      </c>
      <c r="C69" s="105">
        <v>44818.49513888889</v>
      </c>
      <c r="D69" s="129">
        <f>(C69-B69)*24</f>
        <v>7.633333333244082</v>
      </c>
      <c r="E69" s="105" t="s">
        <v>102</v>
      </c>
      <c r="F69" s="105">
        <v>44818.49513888889</v>
      </c>
      <c r="G69" s="105">
        <v>44818.538194444445</v>
      </c>
      <c r="H69" s="129">
        <f>(G69-F69)*24</f>
        <v>1.03333333338378</v>
      </c>
      <c r="I69" s="129">
        <f>(G69-F69)*24</f>
        <v>1.03333333338378</v>
      </c>
      <c r="J69" s="106" t="s">
        <v>20</v>
      </c>
      <c r="K69" s="107" t="s">
        <v>20</v>
      </c>
      <c r="L69" s="107" t="s">
        <v>20</v>
      </c>
      <c r="M69" s="108" t="s">
        <v>15</v>
      </c>
      <c r="N69" s="105"/>
      <c r="O69" s="109">
        <f t="shared" si="7"/>
        <v>1</v>
      </c>
      <c r="P69" s="109">
        <f t="shared" si="8"/>
      </c>
      <c r="Q69" s="109">
        <f t="shared" si="9"/>
      </c>
      <c r="R69" s="110">
        <f t="shared" si="12"/>
        <v>1</v>
      </c>
      <c r="S69" s="100"/>
      <c r="T69" s="100"/>
      <c r="U69" s="100"/>
    </row>
    <row r="70" spans="1:21" s="101" customFormat="1" ht="15.75" customHeight="1">
      <c r="A70" s="113">
        <v>46</v>
      </c>
      <c r="B70" s="105">
        <v>44818.538194444445</v>
      </c>
      <c r="C70" s="114">
        <v>44818.677083333336</v>
      </c>
      <c r="D70" s="115">
        <f>(C70-B70)*24</f>
        <v>3.3333333333721384</v>
      </c>
      <c r="E70" s="114" t="s">
        <v>103</v>
      </c>
      <c r="F70" s="114">
        <v>44818.677083333336</v>
      </c>
      <c r="G70" s="114">
        <v>44818.725694444445</v>
      </c>
      <c r="H70" s="115">
        <f>(G70-F70)*24</f>
        <v>1.1666666666278616</v>
      </c>
      <c r="I70" s="115">
        <f>(G70-F70)*24</f>
        <v>1.1666666666278616</v>
      </c>
      <c r="J70" s="116" t="s">
        <v>68</v>
      </c>
      <c r="K70" s="117" t="s">
        <v>68</v>
      </c>
      <c r="L70" s="117" t="s">
        <v>68</v>
      </c>
      <c r="M70" s="118" t="s">
        <v>15</v>
      </c>
      <c r="N70" s="114"/>
      <c r="O70" s="152">
        <f t="shared" si="7"/>
        <v>1</v>
      </c>
      <c r="P70" s="152">
        <f t="shared" si="8"/>
      </c>
      <c r="Q70" s="152">
        <f t="shared" si="9"/>
      </c>
      <c r="R70" s="153">
        <f t="shared" si="12"/>
        <v>1</v>
      </c>
      <c r="S70" s="100"/>
      <c r="T70" s="100"/>
      <c r="U70" s="100"/>
    </row>
    <row r="71" spans="1:21" s="112" customFormat="1" ht="12.75">
      <c r="A71" s="104">
        <v>47</v>
      </c>
      <c r="B71" s="114">
        <v>44818.725694444445</v>
      </c>
      <c r="C71" s="105">
        <v>44823.333333333336</v>
      </c>
      <c r="D71" s="129">
        <f>(C71-B71)*24</f>
        <v>110.58333333337214</v>
      </c>
      <c r="E71" s="105" t="s">
        <v>66</v>
      </c>
      <c r="F71" s="105"/>
      <c r="G71" s="105"/>
      <c r="H71" s="129">
        <f>(G71-F71)*24</f>
        <v>0</v>
      </c>
      <c r="I71" s="129">
        <f>(G71-F71)*24</f>
        <v>0</v>
      </c>
      <c r="J71" s="106"/>
      <c r="K71" s="107"/>
      <c r="L71" s="107"/>
      <c r="M71" s="108" t="s">
        <v>19</v>
      </c>
      <c r="N71" s="105"/>
      <c r="O71" s="154">
        <f t="shared" si="7"/>
      </c>
      <c r="P71" s="154">
        <f t="shared" si="8"/>
        <v>1</v>
      </c>
      <c r="Q71" s="154">
        <f t="shared" si="9"/>
      </c>
      <c r="R71" s="155">
        <f t="shared" si="12"/>
        <v>1</v>
      </c>
      <c r="S71" s="111"/>
      <c r="T71" s="111"/>
      <c r="U71" s="111"/>
    </row>
    <row r="72" spans="1:21" s="128" customFormat="1" ht="12.75">
      <c r="A72" s="119"/>
      <c r="B72" s="120"/>
      <c r="C72" s="120"/>
      <c r="D72" s="121">
        <f>SUM(D67:D71)</f>
        <v>134.6166666666395</v>
      </c>
      <c r="E72" s="122"/>
      <c r="F72" s="123"/>
      <c r="G72" s="123"/>
      <c r="H72" s="124">
        <f>SUM(H67:H71)</f>
        <v>9.383333333360497</v>
      </c>
      <c r="I72" s="124">
        <f>SUM(I67:I71)</f>
        <v>9.383333333360497</v>
      </c>
      <c r="J72" s="125"/>
      <c r="K72" s="126"/>
      <c r="L72" s="126"/>
      <c r="M72" s="127"/>
      <c r="N72" s="122"/>
      <c r="O72" s="109">
        <f t="shared" si="7"/>
      </c>
      <c r="P72" s="109">
        <f t="shared" si="8"/>
      </c>
      <c r="Q72" s="109">
        <f t="shared" si="9"/>
      </c>
      <c r="R72" s="110">
        <f t="shared" si="12"/>
        <v>0</v>
      </c>
      <c r="S72" s="30"/>
      <c r="T72" s="30"/>
      <c r="U72" s="30"/>
    </row>
    <row r="73" spans="1:21" s="101" customFormat="1" ht="15.75" customHeight="1">
      <c r="A73" s="104">
        <v>48</v>
      </c>
      <c r="B73" s="114">
        <v>44824.333333333336</v>
      </c>
      <c r="C73" s="105">
        <v>44831.660416666666</v>
      </c>
      <c r="D73" s="129">
        <f>(C73-B73)*24</f>
        <v>175.8499999999185</v>
      </c>
      <c r="E73" s="105" t="s">
        <v>74</v>
      </c>
      <c r="F73" s="105">
        <v>44831.660416666666</v>
      </c>
      <c r="G73" s="105">
        <v>44831.708333333336</v>
      </c>
      <c r="H73" s="129">
        <f>(G73-F73)*24</f>
        <v>1.1500000000814907</v>
      </c>
      <c r="I73" s="129">
        <f>(G73-F73)*24</f>
        <v>1.1500000000814907</v>
      </c>
      <c r="J73" s="106" t="s">
        <v>63</v>
      </c>
      <c r="K73" s="107" t="s">
        <v>63</v>
      </c>
      <c r="L73" s="107" t="s">
        <v>63</v>
      </c>
      <c r="M73" s="108" t="s">
        <v>15</v>
      </c>
      <c r="N73" s="105"/>
      <c r="O73" s="109">
        <f t="shared" si="7"/>
        <v>1</v>
      </c>
      <c r="P73" s="109">
        <f t="shared" si="8"/>
      </c>
      <c r="Q73" s="109">
        <f t="shared" si="9"/>
      </c>
      <c r="R73" s="110">
        <f>SUM(O73:Q73)</f>
        <v>1</v>
      </c>
      <c r="S73" s="100"/>
      <c r="T73" s="100"/>
      <c r="U73" s="100"/>
    </row>
    <row r="74" spans="1:21" s="101" customFormat="1" ht="15.75" customHeight="1">
      <c r="A74" s="113">
        <v>49</v>
      </c>
      <c r="B74" s="105">
        <v>44831.708333333336</v>
      </c>
      <c r="C74" s="114">
        <v>44833.086805555555</v>
      </c>
      <c r="D74" s="115">
        <f>(C74-B74)*24</f>
        <v>33.08333333325572</v>
      </c>
      <c r="E74" s="114" t="s">
        <v>105</v>
      </c>
      <c r="F74" s="114">
        <v>44833.086805555555</v>
      </c>
      <c r="G74" s="114">
        <v>44833.37222222222</v>
      </c>
      <c r="H74" s="115">
        <f>(G74-F74)*24</f>
        <v>6.849999999976717</v>
      </c>
      <c r="I74" s="115">
        <f>(G74-F74)*24</f>
        <v>6.849999999976717</v>
      </c>
      <c r="J74" s="116" t="s">
        <v>72</v>
      </c>
      <c r="K74" s="117" t="s">
        <v>72</v>
      </c>
      <c r="L74" s="117" t="s">
        <v>72</v>
      </c>
      <c r="M74" s="118" t="s">
        <v>15</v>
      </c>
      <c r="N74" s="114"/>
      <c r="O74" s="152">
        <f t="shared" si="7"/>
        <v>1</v>
      </c>
      <c r="P74" s="152">
        <f t="shared" si="8"/>
      </c>
      <c r="Q74" s="152">
        <f t="shared" si="9"/>
      </c>
      <c r="R74" s="153">
        <f>SUM(O74:Q74)</f>
        <v>1</v>
      </c>
      <c r="S74" s="100"/>
      <c r="T74" s="100"/>
      <c r="U74" s="100"/>
    </row>
    <row r="75" spans="1:21" s="112" customFormat="1" ht="12.75">
      <c r="A75" s="104">
        <v>51</v>
      </c>
      <c r="B75" s="114">
        <v>44833.37222222222</v>
      </c>
      <c r="C75" s="105">
        <v>44834.333333333336</v>
      </c>
      <c r="D75" s="129">
        <f>(C75-B75)*24</f>
        <v>23.06666666676756</v>
      </c>
      <c r="E75" s="105" t="s">
        <v>66</v>
      </c>
      <c r="F75" s="105"/>
      <c r="G75" s="105"/>
      <c r="H75" s="129">
        <f>(G75-F75)*24</f>
        <v>0</v>
      </c>
      <c r="I75" s="129">
        <f>(G75-F75)*24</f>
        <v>0</v>
      </c>
      <c r="J75" s="106"/>
      <c r="K75" s="107"/>
      <c r="L75" s="107"/>
      <c r="M75" s="108" t="s">
        <v>19</v>
      </c>
      <c r="N75" s="105"/>
      <c r="O75" s="154">
        <f t="shared" si="7"/>
      </c>
      <c r="P75" s="154">
        <f t="shared" si="8"/>
        <v>1</v>
      </c>
      <c r="Q75" s="154">
        <f t="shared" si="9"/>
      </c>
      <c r="R75" s="155">
        <f>SUM(O75:Q75)</f>
        <v>1</v>
      </c>
      <c r="S75" s="111"/>
      <c r="T75" s="111"/>
      <c r="U75" s="111"/>
    </row>
    <row r="76" spans="1:21" s="128" customFormat="1" ht="12.75">
      <c r="A76" s="119"/>
      <c r="B76" s="120"/>
      <c r="C76" s="120"/>
      <c r="D76" s="121">
        <f>SUM(D73:D75)</f>
        <v>231.9999999999418</v>
      </c>
      <c r="E76" s="122"/>
      <c r="F76" s="123"/>
      <c r="G76" s="123"/>
      <c r="H76" s="124">
        <f>SUM(H73:H75)</f>
        <v>8.000000000058208</v>
      </c>
      <c r="I76" s="124">
        <f>SUM(I73:I75)</f>
        <v>8.000000000058208</v>
      </c>
      <c r="J76" s="125"/>
      <c r="K76" s="126"/>
      <c r="L76" s="126"/>
      <c r="M76" s="127"/>
      <c r="N76" s="122"/>
      <c r="O76" s="109">
        <f t="shared" si="7"/>
      </c>
      <c r="P76" s="109">
        <f t="shared" si="8"/>
      </c>
      <c r="Q76" s="109">
        <f t="shared" si="9"/>
      </c>
      <c r="R76" s="110">
        <f>SUM(O76:Q76)</f>
        <v>0</v>
      </c>
      <c r="S76" s="30"/>
      <c r="T76" s="30"/>
      <c r="U76" s="30"/>
    </row>
    <row r="77" spans="1:23" s="101" customFormat="1" ht="12.75">
      <c r="A77" s="89"/>
      <c r="B77" s="90"/>
      <c r="C77" s="90"/>
      <c r="D77" s="91"/>
      <c r="E77" s="92"/>
      <c r="F77" s="93"/>
      <c r="G77" s="94"/>
      <c r="H77" s="90"/>
      <c r="I77" s="90"/>
      <c r="J77" s="95"/>
      <c r="K77" s="95"/>
      <c r="L77" s="96"/>
      <c r="M77" s="97"/>
      <c r="N77" s="97"/>
      <c r="O77" s="98"/>
      <c r="P77" s="92"/>
      <c r="Q77" s="99"/>
      <c r="R77" s="99"/>
      <c r="S77" s="99"/>
      <c r="T77" s="99"/>
      <c r="U77" s="100"/>
      <c r="V77" s="100"/>
      <c r="W77" s="100"/>
    </row>
    <row r="78" spans="1:18" ht="12.75">
      <c r="A78" s="28"/>
      <c r="B78" s="14"/>
      <c r="C78" s="34" t="s">
        <v>23</v>
      </c>
      <c r="D78" s="35">
        <f>O80</f>
        <v>37</v>
      </c>
      <c r="E78" s="16"/>
      <c r="F78" s="29"/>
      <c r="G78" s="18"/>
      <c r="H78" s="19"/>
      <c r="I78" s="19"/>
      <c r="J78" s="36" t="s">
        <v>24</v>
      </c>
      <c r="K78" s="37"/>
      <c r="L78" s="21"/>
      <c r="M78" s="22"/>
      <c r="N78" s="22"/>
      <c r="O78" s="38"/>
      <c r="P78" s="23"/>
      <c r="R78" s="12">
        <f>IF($L78="Scheduled",1,"")</f>
      </c>
    </row>
    <row r="79" spans="1:18" ht="12.75">
      <c r="A79" s="28"/>
      <c r="B79" s="14"/>
      <c r="C79" s="34" t="s">
        <v>25</v>
      </c>
      <c r="D79" s="35">
        <f>D80-D78</f>
        <v>11</v>
      </c>
      <c r="E79" s="16"/>
      <c r="F79" s="29"/>
      <c r="G79" s="18"/>
      <c r="H79" s="19"/>
      <c r="I79" s="19"/>
      <c r="J79" s="15" t="s">
        <v>26</v>
      </c>
      <c r="K79" s="39" t="s">
        <v>11</v>
      </c>
      <c r="L79" s="21"/>
      <c r="M79" s="22"/>
      <c r="N79" s="22"/>
      <c r="O79" s="38"/>
      <c r="P79" s="23"/>
      <c r="R79" s="12">
        <f>IF($L79="Scheduled",1,"")</f>
      </c>
    </row>
    <row r="80" spans="1:27" ht="13.5" thickBot="1">
      <c r="A80" s="28"/>
      <c r="B80" s="14"/>
      <c r="C80" s="34" t="s">
        <v>27</v>
      </c>
      <c r="D80" s="40">
        <f>COUNT(A5:A77)</f>
        <v>48</v>
      </c>
      <c r="E80" s="16"/>
      <c r="F80" s="29"/>
      <c r="G80" s="18"/>
      <c r="H80" s="19"/>
      <c r="I80" s="19"/>
      <c r="J80" s="41">
        <f>SUM(H5:H77)/2</f>
        <v>91.06666666647652</v>
      </c>
      <c r="K80" s="41">
        <f>SUM(I5:I77)/2</f>
        <v>91.06666666647652</v>
      </c>
      <c r="L80" s="21"/>
      <c r="M80" s="22"/>
      <c r="N80" s="22"/>
      <c r="O80" s="40">
        <f>SUM(O1:O77)</f>
        <v>37</v>
      </c>
      <c r="P80" s="40">
        <f>SUM(P1:P77)</f>
        <v>11</v>
      </c>
      <c r="Q80" s="40">
        <f>SUM(S1:S77)</f>
        <v>0</v>
      </c>
      <c r="R80" s="40">
        <f>SUM(T1:T77)</f>
        <v>0</v>
      </c>
      <c r="Y80" s="30"/>
      <c r="Z80" s="30"/>
      <c r="AA80" s="30"/>
    </row>
    <row r="81" spans="1:17" ht="13.5" thickTop="1">
      <c r="A81" s="28"/>
      <c r="B81" s="14"/>
      <c r="C81" s="34"/>
      <c r="D81" s="15"/>
      <c r="E81" s="16"/>
      <c r="F81" s="29"/>
      <c r="G81" s="18"/>
      <c r="H81" s="19"/>
      <c r="I81" s="19"/>
      <c r="J81" s="15"/>
      <c r="K81" s="20"/>
      <c r="L81" s="21"/>
      <c r="M81" s="22"/>
      <c r="N81" s="22"/>
      <c r="O81" s="12"/>
      <c r="P81" s="42" t="s">
        <v>19</v>
      </c>
      <c r="Q81" s="12" t="s">
        <v>28</v>
      </c>
    </row>
    <row r="82" spans="1:24" ht="12.75">
      <c r="A82" s="28"/>
      <c r="B82" s="14"/>
      <c r="C82" s="34" t="s">
        <v>29</v>
      </c>
      <c r="D82" s="15">
        <f>SUM(D5:D77)/2</f>
        <v>1556.9333333334653</v>
      </c>
      <c r="E82" s="43">
        <f>D82/24</f>
        <v>64.87222222222772</v>
      </c>
      <c r="F82" s="44" t="s">
        <v>30</v>
      </c>
      <c r="G82" s="18"/>
      <c r="H82" s="19"/>
      <c r="I82" s="19"/>
      <c r="J82" s="15"/>
      <c r="K82" s="20"/>
      <c r="L82" s="21"/>
      <c r="M82" s="22"/>
      <c r="N82" s="22"/>
      <c r="O82" s="12"/>
      <c r="P82" s="12"/>
      <c r="R82" s="45"/>
      <c r="S82" s="30"/>
      <c r="T82" s="30"/>
      <c r="U82" s="30"/>
      <c r="V82" s="30"/>
      <c r="W82" s="30"/>
      <c r="X82" s="30"/>
    </row>
    <row r="83" spans="1:16" ht="12.75">
      <c r="A83" s="28"/>
      <c r="B83" s="14"/>
      <c r="C83" s="34" t="s">
        <v>31</v>
      </c>
      <c r="D83" s="15">
        <f>J80</f>
        <v>91.06666666647652</v>
      </c>
      <c r="E83" s="16" t="s">
        <v>32</v>
      </c>
      <c r="F83" s="29"/>
      <c r="G83" s="18"/>
      <c r="H83" s="19"/>
      <c r="I83" s="19"/>
      <c r="J83" s="15"/>
      <c r="K83" s="20"/>
      <c r="L83" s="21"/>
      <c r="M83" s="22"/>
      <c r="N83" s="22"/>
      <c r="O83" s="12"/>
      <c r="P83" s="12"/>
    </row>
    <row r="84" spans="1:16" ht="13.5" thickBot="1">
      <c r="A84" s="28"/>
      <c r="B84" s="14"/>
      <c r="C84" s="34" t="s">
        <v>33</v>
      </c>
      <c r="D84" s="40">
        <f>SUM(D82:D83)</f>
        <v>1647.9999999999418</v>
      </c>
      <c r="E84" s="43"/>
      <c r="F84" s="29"/>
      <c r="G84" s="18"/>
      <c r="H84" s="19"/>
      <c r="I84" s="19"/>
      <c r="J84" s="15"/>
      <c r="K84" s="20"/>
      <c r="L84" s="21"/>
      <c r="M84" s="22"/>
      <c r="N84" s="22"/>
      <c r="O84" s="12"/>
      <c r="P84" s="12"/>
    </row>
    <row r="85" spans="1:16" ht="13.5" thickTop="1">
      <c r="A85" s="28"/>
      <c r="B85" s="14"/>
      <c r="C85" s="34"/>
      <c r="D85" s="46"/>
      <c r="E85" s="47"/>
      <c r="F85" s="29"/>
      <c r="G85" s="18"/>
      <c r="H85" s="15"/>
      <c r="I85" s="19"/>
      <c r="J85" s="15"/>
      <c r="K85" s="20"/>
      <c r="L85" s="21"/>
      <c r="M85" s="22"/>
      <c r="N85" s="22"/>
      <c r="O85" s="48">
        <f>O80+P80</f>
        <v>48</v>
      </c>
      <c r="P85" s="12">
        <f>IF($P86="Store Lost",1,"")</f>
      </c>
    </row>
    <row r="86" spans="1:18" ht="12.75">
      <c r="A86" s="28"/>
      <c r="B86" s="14"/>
      <c r="C86" s="34" t="s">
        <v>34</v>
      </c>
      <c r="D86" s="49">
        <f>IF(D78,D82/D78,D82)</f>
        <v>42.079279279282844</v>
      </c>
      <c r="E86" s="16"/>
      <c r="F86" s="29"/>
      <c r="G86" s="18"/>
      <c r="J86" s="7"/>
      <c r="K86" s="50"/>
      <c r="Q86" s="23"/>
      <c r="R86" s="12">
        <f>IF($P88="Store Lost",1,"")</f>
      </c>
    </row>
    <row r="87" spans="1:18" ht="12.75">
      <c r="A87" s="28"/>
      <c r="B87" s="14"/>
      <c r="C87" s="34" t="s">
        <v>35</v>
      </c>
      <c r="D87" s="46">
        <f>IF(D78,24/D86,0)</f>
        <v>0.5703519739658676</v>
      </c>
      <c r="E87" s="51"/>
      <c r="F87" s="52"/>
      <c r="G87" s="53"/>
      <c r="K87" s="50"/>
      <c r="Q87" s="23"/>
      <c r="R87" s="12" t="e">
        <f>NA()</f>
        <v>#N/A</v>
      </c>
    </row>
    <row r="88" spans="1:18" ht="12.75">
      <c r="A88" s="28"/>
      <c r="B88" s="14"/>
      <c r="C88" s="34" t="s">
        <v>36</v>
      </c>
      <c r="D88" s="102">
        <f>D82/D84</f>
        <v>0.944741100323738</v>
      </c>
      <c r="E88" s="54"/>
      <c r="F88" s="29"/>
      <c r="G88" s="18"/>
      <c r="K88" s="50"/>
      <c r="Q88" s="23"/>
      <c r="R88" s="12" t="e">
        <f>NA()</f>
        <v>#N/A</v>
      </c>
    </row>
    <row r="89" spans="1:29" s="55" customFormat="1" ht="13.5" thickBot="1">
      <c r="A89" s="28"/>
      <c r="B89" s="14"/>
      <c r="C89" s="14"/>
      <c r="D89" s="15"/>
      <c r="E89" s="16"/>
      <c r="F89" s="29"/>
      <c r="G89" s="18"/>
      <c r="H89" s="7"/>
      <c r="I89" s="7"/>
      <c r="J89" s="3"/>
      <c r="K89" s="50"/>
      <c r="L89" s="9"/>
      <c r="M89" s="10"/>
      <c r="N89" s="10"/>
      <c r="O89" s="9"/>
      <c r="P89" s="11"/>
      <c r="Q89" s="23"/>
      <c r="R89" s="12">
        <f aca="true" t="shared" si="13" ref="R89:R97">IF($P91="Store Lost",1,"")</f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18" ht="12.75">
      <c r="A90" s="28"/>
      <c r="B90" s="14"/>
      <c r="C90" s="14"/>
      <c r="D90" s="15"/>
      <c r="E90" s="16"/>
      <c r="F90" s="29"/>
      <c r="G90" s="18"/>
      <c r="K90" s="50"/>
      <c r="Q90" s="23"/>
      <c r="R90" s="12">
        <f t="shared" si="13"/>
      </c>
    </row>
    <row r="91" spans="1:18" ht="12.75">
      <c r="A91" s="28"/>
      <c r="B91" s="14"/>
      <c r="C91" s="14"/>
      <c r="D91" s="15"/>
      <c r="E91" s="16"/>
      <c r="F91" s="29"/>
      <c r="G91" s="18"/>
      <c r="K91" s="50"/>
      <c r="Q91" s="23"/>
      <c r="R91" s="12">
        <f t="shared" si="13"/>
      </c>
    </row>
    <row r="92" spans="1:18" ht="12.75">
      <c r="A92" s="28"/>
      <c r="B92" s="14"/>
      <c r="C92" s="14"/>
      <c r="D92" s="15"/>
      <c r="E92" s="16"/>
      <c r="F92" s="29"/>
      <c r="G92" s="18"/>
      <c r="K92" s="50"/>
      <c r="Q92" s="23"/>
      <c r="R92" s="12">
        <f t="shared" si="13"/>
      </c>
    </row>
    <row r="93" spans="1:18" ht="12.75">
      <c r="A93" s="28"/>
      <c r="B93" s="14"/>
      <c r="C93" s="14"/>
      <c r="D93" s="15"/>
      <c r="E93" s="16"/>
      <c r="F93" s="29"/>
      <c r="G93" s="18"/>
      <c r="K93" s="50"/>
      <c r="Q93" s="23"/>
      <c r="R93" s="12">
        <f t="shared" si="13"/>
      </c>
    </row>
    <row r="94" spans="1:18" ht="12.75">
      <c r="A94" s="28"/>
      <c r="B94" s="14"/>
      <c r="C94" s="14"/>
      <c r="D94" s="15"/>
      <c r="E94" s="16"/>
      <c r="F94" s="29"/>
      <c r="G94" s="18"/>
      <c r="K94" s="50"/>
      <c r="Q94" s="23"/>
      <c r="R94" s="12">
        <f t="shared" si="13"/>
      </c>
    </row>
    <row r="95" spans="1:18" ht="12.75">
      <c r="A95" s="28"/>
      <c r="B95" s="14"/>
      <c r="C95" s="14"/>
      <c r="D95" s="15"/>
      <c r="E95" s="16"/>
      <c r="F95" s="29"/>
      <c r="G95" s="18"/>
      <c r="K95" s="50"/>
      <c r="Q95" s="23"/>
      <c r="R95" s="12">
        <f t="shared" si="13"/>
      </c>
    </row>
    <row r="96" spans="1:18" ht="12.75">
      <c r="A96" s="28"/>
      <c r="B96" s="14"/>
      <c r="C96" s="14"/>
      <c r="D96" s="15"/>
      <c r="E96" s="16"/>
      <c r="F96" s="29"/>
      <c r="G96" s="18"/>
      <c r="K96" s="50"/>
      <c r="Q96" s="23"/>
      <c r="R96" s="12">
        <f t="shared" si="13"/>
      </c>
    </row>
    <row r="97" spans="1:18" ht="12.75">
      <c r="A97" s="28"/>
      <c r="B97" s="14"/>
      <c r="C97" s="14"/>
      <c r="D97" s="15"/>
      <c r="E97" s="16"/>
      <c r="F97" s="29"/>
      <c r="G97" s="18"/>
      <c r="K97" s="50"/>
      <c r="Q97" s="23"/>
      <c r="R97" s="12">
        <f t="shared" si="13"/>
      </c>
    </row>
    <row r="98" spans="1:29" s="56" customFormat="1" ht="13.5" thickBot="1">
      <c r="A98" s="28"/>
      <c r="B98" s="14"/>
      <c r="C98" s="14"/>
      <c r="D98" s="15"/>
      <c r="E98" s="16"/>
      <c r="F98" s="29"/>
      <c r="G98" s="18"/>
      <c r="H98" s="7"/>
      <c r="I98" s="7"/>
      <c r="J98" s="3"/>
      <c r="K98" s="50"/>
      <c r="L98" s="9"/>
      <c r="M98" s="10"/>
      <c r="N98" s="10"/>
      <c r="O98" s="9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s="30" customFormat="1" ht="14.25" thickBot="1" thickTop="1">
      <c r="A99" s="28"/>
      <c r="B99" s="14"/>
      <c r="C99" s="14"/>
      <c r="D99" s="15"/>
      <c r="E99" s="16"/>
      <c r="F99" s="29"/>
      <c r="G99" s="18"/>
      <c r="H99" s="7"/>
      <c r="I99" s="7"/>
      <c r="J99" s="3"/>
      <c r="K99" s="50"/>
      <c r="L99" s="9"/>
      <c r="M99" s="10"/>
      <c r="N99" s="10"/>
      <c r="O99" s="9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55"/>
      <c r="AB99" s="55"/>
      <c r="AC99" s="55"/>
    </row>
    <row r="100" spans="1:16" ht="12.75">
      <c r="A100" s="28"/>
      <c r="B100" s="14"/>
      <c r="C100" s="14"/>
      <c r="D100" s="15"/>
      <c r="E100" s="16"/>
      <c r="F100" s="29"/>
      <c r="G100" s="18"/>
      <c r="H100" s="19"/>
      <c r="I100" s="19"/>
      <c r="J100" s="15"/>
      <c r="K100" s="20"/>
      <c r="L100" s="21"/>
      <c r="M100" s="22"/>
      <c r="N100" s="22"/>
      <c r="O100" s="21"/>
      <c r="P100" s="23"/>
    </row>
    <row r="101" spans="1:26" ht="13.5" thickBot="1">
      <c r="A101" s="28"/>
      <c r="B101" s="14"/>
      <c r="C101" s="14"/>
      <c r="E101" s="16"/>
      <c r="F101" s="29"/>
      <c r="G101" s="18"/>
      <c r="H101" s="19"/>
      <c r="I101" s="19"/>
      <c r="L101" s="21"/>
      <c r="M101" s="22"/>
      <c r="N101" s="22"/>
      <c r="O101" s="21"/>
      <c r="P101" s="23"/>
      <c r="U101" s="55"/>
      <c r="V101" s="55"/>
      <c r="W101" s="55"/>
      <c r="X101" s="55"/>
      <c r="Y101" s="55"/>
      <c r="Z101" s="55"/>
    </row>
    <row r="102" spans="1:16" ht="12.75">
      <c r="A102" s="28"/>
      <c r="B102" s="14"/>
      <c r="C102" s="14"/>
      <c r="E102" s="16"/>
      <c r="F102" s="29"/>
      <c r="G102" s="18"/>
      <c r="H102" s="19"/>
      <c r="I102" s="19"/>
      <c r="L102" s="21"/>
      <c r="M102" s="22"/>
      <c r="N102" s="22"/>
      <c r="O102" s="21"/>
      <c r="P102" s="23"/>
    </row>
    <row r="103" spans="1:16" ht="12.75">
      <c r="A103" s="28"/>
      <c r="B103" s="14"/>
      <c r="C103" s="14"/>
      <c r="E103" s="16"/>
      <c r="F103" s="29"/>
      <c r="G103" s="18"/>
      <c r="H103" s="19"/>
      <c r="I103" s="19"/>
      <c r="L103" s="21"/>
      <c r="M103" s="22"/>
      <c r="N103" s="22"/>
      <c r="O103" s="21"/>
      <c r="P103" s="23"/>
    </row>
    <row r="104" spans="1:16" ht="12.75">
      <c r="A104" s="28"/>
      <c r="B104" s="14"/>
      <c r="C104" s="14"/>
      <c r="F104" s="29"/>
      <c r="G104" s="18"/>
      <c r="H104" s="19"/>
      <c r="I104" s="19"/>
      <c r="L104" s="21"/>
      <c r="M104" s="22"/>
      <c r="N104" s="22"/>
      <c r="O104" s="21"/>
      <c r="P104" s="23"/>
    </row>
    <row r="105" spans="1:20" ht="13.5" thickBot="1">
      <c r="A105" s="28"/>
      <c r="B105" s="14"/>
      <c r="C105" s="14"/>
      <c r="F105" s="29"/>
      <c r="G105" s="18"/>
      <c r="H105" s="19"/>
      <c r="I105" s="19"/>
      <c r="L105" s="21"/>
      <c r="M105" s="22"/>
      <c r="N105" s="22"/>
      <c r="O105" s="21"/>
      <c r="P105" s="23"/>
      <c r="R105" s="55"/>
      <c r="S105" s="55"/>
      <c r="T105" s="55"/>
    </row>
    <row r="106" spans="2:16" ht="12.75">
      <c r="B106" s="14"/>
      <c r="C106" s="14"/>
      <c r="F106" s="29"/>
      <c r="G106" s="18"/>
      <c r="H106" s="19"/>
      <c r="I106" s="19"/>
      <c r="L106" s="21"/>
      <c r="M106" s="22"/>
      <c r="N106" s="22"/>
      <c r="O106" s="21"/>
      <c r="P106" s="23"/>
    </row>
    <row r="107" spans="2:17" ht="12.75">
      <c r="B107" s="14"/>
      <c r="C107" s="14"/>
      <c r="F107" s="29"/>
      <c r="G107" s="18"/>
      <c r="H107" s="19"/>
      <c r="I107" s="19"/>
      <c r="L107" s="21"/>
      <c r="M107" s="22"/>
      <c r="N107" s="22"/>
      <c r="O107" s="21"/>
      <c r="P107" s="23"/>
      <c r="Q107" s="12">
        <f aca="true" t="shared" si="14" ref="Q107:Q138">IF($O109="Store Lost",1,"")</f>
      </c>
    </row>
    <row r="108" spans="2:29" ht="13.5" thickBot="1">
      <c r="B108" s="14"/>
      <c r="C108" s="14"/>
      <c r="F108" s="29"/>
      <c r="G108" s="18"/>
      <c r="H108" s="19"/>
      <c r="I108" s="19"/>
      <c r="L108" s="21"/>
      <c r="M108" s="22"/>
      <c r="N108" s="22"/>
      <c r="O108" s="21"/>
      <c r="P108" s="23"/>
      <c r="Q108" s="12">
        <f t="shared" si="14"/>
      </c>
      <c r="AA108" s="56"/>
      <c r="AB108" s="56"/>
      <c r="AC108" s="56"/>
    </row>
    <row r="109" spans="2:29" ht="13.5" thickTop="1">
      <c r="B109" s="14"/>
      <c r="C109" s="14"/>
      <c r="Q109" s="12">
        <f t="shared" si="14"/>
      </c>
      <c r="AA109" s="30"/>
      <c r="AB109" s="30"/>
      <c r="AC109" s="30"/>
    </row>
    <row r="110" spans="17:26" ht="13.5" thickBot="1">
      <c r="Q110" s="12">
        <f t="shared" si="14"/>
      </c>
      <c r="U110" s="56"/>
      <c r="V110" s="56"/>
      <c r="W110" s="56"/>
      <c r="X110" s="56"/>
      <c r="Y110" s="56"/>
      <c r="Z110" s="56"/>
    </row>
    <row r="111" spans="17:26" ht="13.5" thickTop="1">
      <c r="Q111" s="12">
        <f t="shared" si="14"/>
      </c>
      <c r="U111" s="30"/>
      <c r="V111" s="30"/>
      <c r="W111" s="30"/>
      <c r="X111" s="30"/>
      <c r="Y111" s="30"/>
      <c r="Z111" s="30"/>
    </row>
    <row r="112" spans="1:29" s="55" customFormat="1" ht="13.5" thickBot="1">
      <c r="A112" s="1"/>
      <c r="B112" s="2"/>
      <c r="C112" s="2"/>
      <c r="D112" s="3"/>
      <c r="E112" s="4"/>
      <c r="F112" s="5"/>
      <c r="G112" s="6"/>
      <c r="H112" s="7"/>
      <c r="I112" s="7"/>
      <c r="J112" s="3"/>
      <c r="K112" s="8"/>
      <c r="L112" s="9"/>
      <c r="M112" s="10"/>
      <c r="N112" s="10"/>
      <c r="O112" s="9"/>
      <c r="P112" s="11"/>
      <c r="Q112" s="12">
        <f t="shared" si="14"/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ht="12.75">
      <c r="Q113" s="12">
        <f t="shared" si="14"/>
      </c>
    </row>
    <row r="114" spans="17:20" ht="13.5" thickBot="1">
      <c r="Q114" s="12">
        <f t="shared" si="14"/>
      </c>
      <c r="R114" s="56"/>
      <c r="S114" s="56"/>
      <c r="T114" s="56"/>
    </row>
    <row r="115" spans="17:20" ht="13.5" thickTop="1">
      <c r="Q115" s="12">
        <f t="shared" si="14"/>
      </c>
      <c r="R115" s="30"/>
      <c r="S115" s="30"/>
      <c r="T115" s="30"/>
    </row>
    <row r="116" ht="12.75">
      <c r="Q116" s="12">
        <f t="shared" si="14"/>
      </c>
    </row>
    <row r="117" ht="12.75">
      <c r="Q117" s="12">
        <f t="shared" si="14"/>
      </c>
    </row>
    <row r="118" ht="12.75">
      <c r="Q118" s="12">
        <f t="shared" si="14"/>
      </c>
    </row>
    <row r="119" ht="12.75">
      <c r="Q119" s="12">
        <f t="shared" si="14"/>
      </c>
    </row>
    <row r="120" ht="12.75">
      <c r="Q120" s="12">
        <f t="shared" si="14"/>
      </c>
    </row>
    <row r="121" ht="12.75">
      <c r="Q121" s="12">
        <f t="shared" si="14"/>
      </c>
    </row>
    <row r="122" spans="17:29" ht="13.5" thickBot="1">
      <c r="Q122" s="12">
        <f t="shared" si="14"/>
      </c>
      <c r="AA122" s="55"/>
      <c r="AB122" s="55"/>
      <c r="AC122" s="55"/>
    </row>
    <row r="123" ht="12.75">
      <c r="Q123" s="12">
        <f t="shared" si="14"/>
      </c>
    </row>
    <row r="124" spans="17:26" ht="13.5" thickBot="1">
      <c r="Q124" s="12">
        <f t="shared" si="14"/>
      </c>
      <c r="U124" s="55"/>
      <c r="V124" s="55"/>
      <c r="W124" s="55"/>
      <c r="X124" s="55"/>
      <c r="Y124" s="55"/>
      <c r="Z124" s="55"/>
    </row>
    <row r="125" spans="1:29" s="55" customFormat="1" ht="13.5" thickBot="1">
      <c r="A125" s="1"/>
      <c r="B125" s="2"/>
      <c r="C125" s="2"/>
      <c r="D125" s="3"/>
      <c r="E125" s="4"/>
      <c r="F125" s="5"/>
      <c r="G125" s="6"/>
      <c r="H125" s="7"/>
      <c r="I125" s="7"/>
      <c r="J125" s="3"/>
      <c r="K125" s="8"/>
      <c r="L125" s="9"/>
      <c r="M125" s="10"/>
      <c r="N125" s="10"/>
      <c r="O125" s="9"/>
      <c r="P125" s="11"/>
      <c r="Q125" s="12">
        <f t="shared" si="14"/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s="30" customFormat="1" ht="12.75">
      <c r="A126" s="1"/>
      <c r="B126" s="2"/>
      <c r="C126" s="2"/>
      <c r="D126" s="3"/>
      <c r="E126" s="4"/>
      <c r="F126" s="5"/>
      <c r="G126" s="6"/>
      <c r="H126" s="7"/>
      <c r="I126" s="7"/>
      <c r="J126" s="3"/>
      <c r="K126" s="8"/>
      <c r="L126" s="9"/>
      <c r="M126" s="10"/>
      <c r="N126" s="10"/>
      <c r="O126" s="9"/>
      <c r="P126" s="11"/>
      <c r="Q126" s="12">
        <f t="shared" si="14"/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s="55" customFormat="1" ht="13.5" thickBot="1">
      <c r="A127" s="1"/>
      <c r="B127" s="2"/>
      <c r="C127" s="2"/>
      <c r="D127" s="3"/>
      <c r="E127" s="4"/>
      <c r="F127" s="5"/>
      <c r="G127" s="6"/>
      <c r="H127" s="7"/>
      <c r="I127" s="7"/>
      <c r="J127" s="3"/>
      <c r="K127" s="8"/>
      <c r="L127" s="9"/>
      <c r="M127" s="10"/>
      <c r="N127" s="10"/>
      <c r="O127" s="9"/>
      <c r="P127" s="11"/>
      <c r="Q127" s="12">
        <f t="shared" si="14"/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7:20" ht="13.5" thickBot="1">
      <c r="Q128" s="12">
        <f t="shared" si="14"/>
      </c>
      <c r="R128" s="55"/>
      <c r="S128" s="55"/>
      <c r="T128" s="55"/>
    </row>
    <row r="129" ht="12.75">
      <c r="Q129" s="12">
        <f t="shared" si="14"/>
      </c>
    </row>
    <row r="130" ht="12.75">
      <c r="Q130" s="12">
        <f t="shared" si="14"/>
      </c>
    </row>
    <row r="131" ht="12.75">
      <c r="Q131" s="12">
        <f t="shared" si="14"/>
      </c>
    </row>
    <row r="132" ht="12.75">
      <c r="Q132" s="12">
        <f t="shared" si="14"/>
      </c>
    </row>
    <row r="133" ht="12.75">
      <c r="Q133" s="12">
        <f t="shared" si="14"/>
      </c>
    </row>
    <row r="134" ht="12.75">
      <c r="Q134" s="12">
        <f t="shared" si="14"/>
      </c>
    </row>
    <row r="135" spans="17:29" ht="13.5" thickBot="1">
      <c r="Q135" s="12">
        <f t="shared" si="14"/>
      </c>
      <c r="AA135" s="55"/>
      <c r="AB135" s="55"/>
      <c r="AC135" s="55"/>
    </row>
    <row r="136" spans="17:29" ht="12.75">
      <c r="Q136" s="12">
        <f t="shared" si="14"/>
      </c>
      <c r="AA136" s="30"/>
      <c r="AB136" s="30"/>
      <c r="AC136" s="30"/>
    </row>
    <row r="137" spans="17:29" ht="13.5" thickBot="1">
      <c r="Q137" s="12">
        <f t="shared" si="14"/>
      </c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7:26" ht="12.75">
      <c r="Q138" s="12">
        <f t="shared" si="14"/>
      </c>
      <c r="U138" s="30"/>
      <c r="V138" s="30"/>
      <c r="W138" s="30"/>
      <c r="X138" s="30"/>
      <c r="Y138" s="30"/>
      <c r="Z138" s="30"/>
    </row>
    <row r="139" spans="17:26" ht="13.5" thickBot="1">
      <c r="Q139" s="12">
        <f aca="true" t="shared" si="15" ref="Q139:Q164">IF($O141="Store Lost",1,"")</f>
      </c>
      <c r="U139" s="55"/>
      <c r="V139" s="55"/>
      <c r="W139" s="55"/>
      <c r="X139" s="55"/>
      <c r="Y139" s="55"/>
      <c r="Z139" s="55"/>
    </row>
    <row r="140" ht="12.75">
      <c r="Q140" s="12">
        <f t="shared" si="15"/>
      </c>
    </row>
    <row r="141" spans="17:20" ht="13.5" thickBot="1">
      <c r="Q141" s="12">
        <f t="shared" si="15"/>
      </c>
      <c r="R141" s="55"/>
      <c r="S141" s="55"/>
      <c r="T141" s="55"/>
    </row>
    <row r="142" spans="17:20" ht="12.75">
      <c r="Q142" s="12">
        <f t="shared" si="15"/>
      </c>
      <c r="R142" s="30"/>
      <c r="S142" s="30"/>
      <c r="T142" s="30"/>
    </row>
    <row r="143" spans="17:20" ht="13.5" thickBot="1">
      <c r="Q143" s="12">
        <f t="shared" si="15"/>
      </c>
      <c r="R143" s="55"/>
      <c r="S143" s="55"/>
      <c r="T143" s="55"/>
    </row>
    <row r="144" ht="12.75">
      <c r="Q144" s="12">
        <f t="shared" si="15"/>
      </c>
    </row>
    <row r="145" ht="12.75">
      <c r="Q145" s="12">
        <f t="shared" si="15"/>
      </c>
    </row>
    <row r="146" ht="12.75">
      <c r="Q146" s="12">
        <f t="shared" si="15"/>
      </c>
    </row>
    <row r="147" ht="12.75">
      <c r="Q147" s="12">
        <f t="shared" si="15"/>
      </c>
    </row>
    <row r="148" spans="1:29" s="55" customFormat="1" ht="13.5" thickBot="1">
      <c r="A148" s="1"/>
      <c r="B148" s="2"/>
      <c r="C148" s="2"/>
      <c r="D148" s="3"/>
      <c r="E148" s="4"/>
      <c r="F148" s="5"/>
      <c r="G148" s="6"/>
      <c r="H148" s="7"/>
      <c r="I148" s="7"/>
      <c r="J148" s="3"/>
      <c r="K148" s="8"/>
      <c r="L148" s="9"/>
      <c r="M148" s="10"/>
      <c r="N148" s="10"/>
      <c r="O148" s="9"/>
      <c r="P148" s="11"/>
      <c r="Q148" s="12">
        <f t="shared" si="15"/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ht="12.75">
      <c r="Q149" s="12">
        <f t="shared" si="15"/>
      </c>
    </row>
    <row r="150" ht="12.75">
      <c r="Q150" s="12">
        <f t="shared" si="15"/>
      </c>
    </row>
    <row r="151" ht="12.75">
      <c r="Q151" s="12">
        <f t="shared" si="15"/>
      </c>
    </row>
    <row r="152" ht="12.75">
      <c r="Q152" s="12">
        <f t="shared" si="15"/>
      </c>
    </row>
    <row r="153" ht="12.75">
      <c r="Q153" s="12">
        <f t="shared" si="15"/>
      </c>
    </row>
    <row r="154" ht="12.75">
      <c r="Q154" s="12">
        <f t="shared" si="15"/>
      </c>
    </row>
    <row r="155" ht="12.75">
      <c r="Q155" s="12">
        <f t="shared" si="15"/>
      </c>
    </row>
    <row r="156" ht="12.75">
      <c r="Q156" s="12">
        <f t="shared" si="15"/>
      </c>
    </row>
    <row r="157" ht="12.75">
      <c r="Q157" s="12">
        <f t="shared" si="15"/>
      </c>
    </row>
    <row r="158" spans="1:29" ht="13.5" thickBo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 t="shared" si="15"/>
      </c>
      <c r="AA158" s="55"/>
      <c r="AB158" s="55"/>
      <c r="AC158" s="55"/>
    </row>
    <row r="159" spans="1:17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f t="shared" si="15"/>
      </c>
    </row>
    <row r="160" spans="1:26" ht="13.5" thickBo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f t="shared" si="15"/>
      </c>
      <c r="U160" s="55"/>
      <c r="V160" s="55"/>
      <c r="W160" s="55"/>
      <c r="X160" s="55"/>
      <c r="Y160" s="55"/>
      <c r="Z160" s="55"/>
    </row>
    <row r="161" spans="1:1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>
        <f t="shared" si="15"/>
      </c>
    </row>
    <row r="162" spans="1:17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>
        <f t="shared" si="15"/>
      </c>
    </row>
    <row r="163" spans="1:1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f t="shared" si="15"/>
      </c>
    </row>
    <row r="164" spans="1:20" ht="13.5" thickBo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f t="shared" si="15"/>
      </c>
      <c r="R164" s="55"/>
      <c r="S164" s="55"/>
      <c r="T164" s="55"/>
    </row>
    <row r="168" spans="1:1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>
        <f>COUNT(Q77:Q164)</f>
        <v>1</v>
      </c>
    </row>
  </sheetData>
  <sheetProtection/>
  <mergeCells count="1">
    <mergeCell ref="A2:I2"/>
  </mergeCells>
  <printOptions/>
  <pageMargins left="0" right="0" top="0" bottom="0.15" header="0.511805555555556" footer="0.15"/>
  <pageSetup fitToHeight="0" fitToWidth="1" horizontalDpi="300" verticalDpi="300" orientation="portrait" paperSize="4" scale="49" r:id="rId2"/>
  <headerFooter alignWithMargins="0">
    <oddFooter>&amp;RUpdated &amp;D</oddFooter>
  </headerFooter>
  <rowBreaks count="1" manualBreakCount="1">
    <brk id="1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45"/>
  <sheetViews>
    <sheetView zoomScalePageLayoutView="0" workbookViewId="0" topLeftCell="M2">
      <selection activeCell="D16" sqref="D16"/>
    </sheetView>
  </sheetViews>
  <sheetFormatPr defaultColWidth="9.140625" defaultRowHeight="12.75"/>
  <cols>
    <col min="1" max="1" width="19.00390625" style="0" customWidth="1"/>
    <col min="2" max="12" width="12.00390625" style="0" customWidth="1"/>
    <col min="13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20" width="12.00390625" style="0" customWidth="1"/>
    <col min="21" max="22" width="22.28125" style="0" customWidth="1"/>
    <col min="23" max="23" width="4.00390625" style="0" customWidth="1"/>
    <col min="24" max="25" width="22.28125" style="0" customWidth="1"/>
    <col min="26" max="26" width="12.00390625" style="0" customWidth="1"/>
    <col min="27" max="28" width="21.140625" style="0" customWidth="1"/>
    <col min="29" max="29" width="4.00390625" style="0" customWidth="1"/>
    <col min="30" max="31" width="21.140625" style="0" bestFit="1" customWidth="1"/>
    <col min="32" max="32" width="4.421875" style="0" customWidth="1"/>
    <col min="33" max="34" width="21.140625" style="0" bestFit="1" customWidth="1"/>
    <col min="35" max="35" width="5.00390625" style="0" customWidth="1"/>
    <col min="36" max="37" width="21.140625" style="0" bestFit="1" customWidth="1"/>
    <col min="38" max="38" width="10.28125" style="0" bestFit="1" customWidth="1"/>
  </cols>
  <sheetData>
    <row r="4" spans="1:12" ht="12.75">
      <c r="A4" s="136"/>
      <c r="B4" s="137" t="s">
        <v>12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 ht="12.75">
      <c r="A5" s="137" t="s">
        <v>37</v>
      </c>
      <c r="B5" s="136" t="s">
        <v>63</v>
      </c>
      <c r="C5" s="140" t="s">
        <v>72</v>
      </c>
      <c r="D5" s="140" t="s">
        <v>65</v>
      </c>
      <c r="E5" s="140" t="s">
        <v>68</v>
      </c>
      <c r="F5" s="140" t="s">
        <v>71</v>
      </c>
      <c r="G5" s="140" t="s">
        <v>67</v>
      </c>
      <c r="H5" s="140" t="s">
        <v>22</v>
      </c>
      <c r="I5" s="140" t="s">
        <v>20</v>
      </c>
      <c r="J5" s="140" t="s">
        <v>21</v>
      </c>
      <c r="K5" s="140" t="s">
        <v>104</v>
      </c>
      <c r="L5" s="141" t="s">
        <v>57</v>
      </c>
    </row>
    <row r="6" spans="1:12" ht="12.75">
      <c r="A6" s="136" t="s">
        <v>96</v>
      </c>
      <c r="B6" s="142">
        <v>3</v>
      </c>
      <c r="C6" s="143">
        <v>2</v>
      </c>
      <c r="D6" s="143">
        <v>1</v>
      </c>
      <c r="E6" s="143">
        <v>11</v>
      </c>
      <c r="F6" s="143">
        <v>1</v>
      </c>
      <c r="G6" s="143">
        <v>0</v>
      </c>
      <c r="H6" s="143">
        <v>5</v>
      </c>
      <c r="I6" s="143">
        <v>2</v>
      </c>
      <c r="J6" s="143">
        <v>11</v>
      </c>
      <c r="K6" s="143">
        <v>1</v>
      </c>
      <c r="L6" s="144">
        <v>37</v>
      </c>
    </row>
    <row r="7" spans="1:12" ht="12.75">
      <c r="A7" s="145" t="s">
        <v>97</v>
      </c>
      <c r="B7" s="146">
        <v>1</v>
      </c>
      <c r="C7" s="70">
        <v>0</v>
      </c>
      <c r="D7" s="70">
        <v>0</v>
      </c>
      <c r="E7" s="70">
        <v>1</v>
      </c>
      <c r="F7" s="70">
        <v>0</v>
      </c>
      <c r="G7" s="70">
        <v>1</v>
      </c>
      <c r="H7" s="70">
        <v>2</v>
      </c>
      <c r="I7" s="70">
        <v>2</v>
      </c>
      <c r="J7" s="70">
        <v>0</v>
      </c>
      <c r="K7" s="70">
        <v>0</v>
      </c>
      <c r="L7" s="147">
        <v>7</v>
      </c>
    </row>
    <row r="8" spans="1:12" ht="12.75">
      <c r="A8" s="148" t="s">
        <v>98</v>
      </c>
      <c r="B8" s="166">
        <v>3.449999999895226</v>
      </c>
      <c r="C8" s="149">
        <v>18.01666666654637</v>
      </c>
      <c r="D8" s="149">
        <v>4.383333333302289</v>
      </c>
      <c r="E8" s="149">
        <v>8.633333333360497</v>
      </c>
      <c r="F8" s="149">
        <v>2.833333333313931</v>
      </c>
      <c r="G8" s="149">
        <v>0.75</v>
      </c>
      <c r="H8" s="149">
        <v>19.04999999993015</v>
      </c>
      <c r="I8" s="149">
        <v>10.833333333546761</v>
      </c>
      <c r="J8" s="149">
        <v>16.51666666654637</v>
      </c>
      <c r="K8" s="149">
        <v>6.600000000034925</v>
      </c>
      <c r="L8" s="167">
        <v>91.06666666647652</v>
      </c>
    </row>
    <row r="13" spans="2:22" ht="12.75">
      <c r="B13" s="57" t="s">
        <v>21</v>
      </c>
      <c r="C13" s="58" t="s">
        <v>42</v>
      </c>
      <c r="D13" s="58" t="s">
        <v>20</v>
      </c>
      <c r="E13" s="58" t="s">
        <v>43</v>
      </c>
      <c r="F13" s="58" t="s">
        <v>44</v>
      </c>
      <c r="G13" s="58" t="s">
        <v>45</v>
      </c>
      <c r="H13" s="58" t="s">
        <v>46</v>
      </c>
      <c r="I13" s="58" t="s">
        <v>47</v>
      </c>
      <c r="J13" s="135" t="s">
        <v>67</v>
      </c>
      <c r="K13" s="135" t="s">
        <v>64</v>
      </c>
      <c r="L13" s="58" t="s">
        <v>49</v>
      </c>
      <c r="M13" s="58" t="s">
        <v>50</v>
      </c>
      <c r="N13" s="58" t="s">
        <v>51</v>
      </c>
      <c r="O13" s="58" t="s">
        <v>52</v>
      </c>
      <c r="P13" s="58" t="s">
        <v>53</v>
      </c>
      <c r="Q13" s="58" t="s">
        <v>54</v>
      </c>
      <c r="R13" s="59" t="s">
        <v>55</v>
      </c>
      <c r="S13" s="60" t="s">
        <v>56</v>
      </c>
      <c r="T13" s="150" t="s">
        <v>67</v>
      </c>
      <c r="U13" s="60" t="s">
        <v>57</v>
      </c>
      <c r="V13" s="61" t="s">
        <v>58</v>
      </c>
    </row>
    <row r="14" spans="1:22" s="65" customFormat="1" ht="12.75">
      <c r="A14" s="103" t="s">
        <v>99</v>
      </c>
      <c r="B14" s="133">
        <f>IF(B16,SUM(B16/B25),"")</f>
        <v>0.01002224919086587</v>
      </c>
      <c r="C14" s="133">
        <f>IF(C16,SUM(C16/B25),"")</f>
        <v>0.0052386731391752435</v>
      </c>
      <c r="D14" s="133">
        <f>IF(D16,SUM(D16/B25),"")</f>
        <v>0.006573624595598996</v>
      </c>
      <c r="E14" s="133">
        <f>IF(E16,SUM(E16/B25),"")</f>
        <v>0.0026597896439942014</v>
      </c>
      <c r="F14" s="133"/>
      <c r="G14" s="133">
        <f>IF(G16,SUM(G16/B25),"")</f>
      </c>
      <c r="H14" s="133">
        <f>IF(H16,SUM(H16/B25),"")</f>
      </c>
      <c r="I14" s="133">
        <f>IF(I16,SUM(I16/B25),"")</f>
        <v>0.0115594660193755</v>
      </c>
      <c r="J14" s="174"/>
      <c r="K14" s="133">
        <f>IF(K16,SUM(K16/B25),"")</f>
      </c>
      <c r="L14" s="133">
        <f>IF(L16,SUM(L16/B25),"")</f>
        <v>0.0020934466018782453</v>
      </c>
      <c r="M14" s="133">
        <f>IF(M16,SUM(M16/E25),"")</f>
      </c>
      <c r="N14" s="133">
        <f>IF(N16,SUM(N16/B25),"")</f>
        <v>0.001719255663418708</v>
      </c>
      <c r="O14" s="133">
        <f>IF(O16,SUM(O16/B25),"")</f>
        <v>0.010932443365623185</v>
      </c>
      <c r="P14" s="133">
        <f>IF(P16,SUM(P16/B25),"")</f>
      </c>
      <c r="Q14" s="133"/>
      <c r="R14" s="63">
        <f>IF(R16,SUM(R16/B25),"")</f>
      </c>
      <c r="S14" s="63">
        <f>IF(S16,SUM(S16/B25),"")</f>
      </c>
      <c r="T14" s="63"/>
      <c r="U14" s="63">
        <f>IF(U16,SUM(U16/B25),"")</f>
        <v>0.05525889967626198</v>
      </c>
      <c r="V14" s="64">
        <f>IF(V16,SUM(V16/N13),"")</f>
      </c>
    </row>
    <row r="15" spans="1:22" ht="12.75">
      <c r="A15" s="62" t="s">
        <v>59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'[1]reliabilitySummary'!$B$18</f>
        <v>0.0012000000000000001</v>
      </c>
      <c r="K15" s="66">
        <f>'[1]reliabilitySummary'!$B$18</f>
        <v>0.0012000000000000001</v>
      </c>
      <c r="L15" s="66">
        <f>'[1]reliabilitySummary'!$B$18</f>
        <v>0.0012000000000000001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/>
      <c r="U15" s="66">
        <v>0.03</v>
      </c>
      <c r="V15" s="67"/>
    </row>
    <row r="16" spans="1:22" s="65" customFormat="1" ht="12.75">
      <c r="A16" s="62" t="s">
        <v>60</v>
      </c>
      <c r="B16" s="132">
        <f>GETPIVOTDATA("Sum of System",$A$4,"Group","RF")</f>
        <v>16.51666666654637</v>
      </c>
      <c r="C16" s="132">
        <f>GETPIVOTDATA("Sum of System",$A$4,"Group","DIA")</f>
        <v>8.633333333360497</v>
      </c>
      <c r="D16" s="131">
        <f>GETPIVOTDATA("Sum of System",$A$4,"Group","PS")</f>
        <v>10.833333333546761</v>
      </c>
      <c r="E16" s="131">
        <f>GETPIVOTDATA("Sum of System",$A$4,"Group","CTL")</f>
        <v>4.383333333302289</v>
      </c>
      <c r="F16" s="131">
        <f>GETPIVOTDATA("Sum of System",$A$4,"Group","SI")</f>
        <v>6.600000000034925</v>
      </c>
      <c r="G16" s="131"/>
      <c r="H16" s="134"/>
      <c r="I16" s="131">
        <f>GETPIVOTDATA("Sum of System",$A$4,"Group","MOM")</f>
        <v>19.04999999993015</v>
      </c>
      <c r="J16" s="131">
        <f>GETPIVOTDATA("Sum of System",$A$4,"Group","MCR")</f>
        <v>0.75</v>
      </c>
      <c r="K16" s="130"/>
      <c r="L16" s="131">
        <f>GETPIVOTDATA("Sum of System",$A$4,"Group","AOP")</f>
        <v>3.449999999895226</v>
      </c>
      <c r="N16" s="134">
        <f>GETPIVOTDATA("Sum of System",$A$4,"Group","FAC")</f>
        <v>2.833333333313931</v>
      </c>
      <c r="O16" s="130">
        <f>GETPIVOTDATA("Sum of System",$A$4,"Group","ComEd")</f>
        <v>18.01666666654637</v>
      </c>
      <c r="P16" s="130"/>
      <c r="Q16" s="130"/>
      <c r="R16" s="134"/>
      <c r="S16" s="130"/>
      <c r="T16" s="130"/>
      <c r="U16" s="68">
        <f>SUM(B16:T16)</f>
        <v>91.06666666647652</v>
      </c>
      <c r="V16" s="69"/>
    </row>
    <row r="17" spans="1:21" ht="12.75">
      <c r="A17" s="71" t="s">
        <v>61</v>
      </c>
      <c r="B17">
        <f>GETPIVOTDATA("Sum of Store Lost",$A$4,"Group","RF")</f>
        <v>11</v>
      </c>
      <c r="C17">
        <f>GETPIVOTDATA("Sum of Store Lost",$A$4,"Group","DIA")</f>
        <v>11</v>
      </c>
      <c r="D17">
        <f>GETPIVOTDATA("Sum of Store Lost",$A$4,"Group","PS")</f>
        <v>2</v>
      </c>
      <c r="E17">
        <f>GETPIVOTDATA("Sum of Store Lost",$A$4,"Group","CTL")</f>
        <v>1</v>
      </c>
      <c r="F17">
        <f>GETPIVOTDATA("Sum of Store Lost",$A$4,"Group","SI")</f>
        <v>1</v>
      </c>
      <c r="I17">
        <f>GETPIVOTDATA("Sum of Store Lost",$A$4,"Group","MOM")</f>
        <v>5</v>
      </c>
      <c r="J17">
        <f>GETPIVOTDATA("Sum of Store Lost",$A$4,"Group","MCR")</f>
        <v>0</v>
      </c>
      <c r="L17">
        <f>GETPIVOTDATA("Sum of Store Lost",$A$4,"Group","AOP")</f>
        <v>3</v>
      </c>
      <c r="N17">
        <f>GETPIVOTDATA("Sum of Store Lost",$A$4,"Group","FAC")</f>
        <v>1</v>
      </c>
      <c r="O17">
        <f>GETPIVOTDATA("Sum of Store Lost",$A$4,"Group","ComEd")</f>
        <v>2</v>
      </c>
      <c r="U17" s="68">
        <f>SUM(B17:S17)</f>
        <v>37</v>
      </c>
    </row>
    <row r="18" spans="1:21" ht="12.75">
      <c r="A18" s="71"/>
      <c r="B18" s="70"/>
      <c r="C18" s="70"/>
      <c r="D18" s="70"/>
      <c r="E18" s="70"/>
      <c r="G18" s="70"/>
      <c r="H18" s="70"/>
      <c r="I18" s="70"/>
      <c r="N18" s="70"/>
      <c r="P18" s="70"/>
      <c r="U18" s="68"/>
    </row>
    <row r="19" spans="1:21" ht="13.5" thickBot="1">
      <c r="A19" s="71"/>
      <c r="B19" s="134"/>
      <c r="C19" s="70"/>
      <c r="D19" s="70"/>
      <c r="E19" s="70"/>
      <c r="G19" s="70"/>
      <c r="H19" s="70"/>
      <c r="I19" s="70"/>
      <c r="N19" s="70"/>
      <c r="P19" s="70"/>
      <c r="U19" s="68"/>
    </row>
    <row r="20" spans="2:21" ht="12.75">
      <c r="B20" s="57" t="s">
        <v>21</v>
      </c>
      <c r="C20" s="58" t="s">
        <v>42</v>
      </c>
      <c r="D20" s="58" t="s">
        <v>20</v>
      </c>
      <c r="E20" s="58" t="s">
        <v>43</v>
      </c>
      <c r="F20" s="58" t="s">
        <v>44</v>
      </c>
      <c r="G20" s="58" t="s">
        <v>45</v>
      </c>
      <c r="H20" s="58" t="s">
        <v>46</v>
      </c>
      <c r="I20" s="58" t="s">
        <v>22</v>
      </c>
      <c r="J20" s="58" t="s">
        <v>48</v>
      </c>
      <c r="K20" s="58"/>
      <c r="L20" s="58" t="s">
        <v>49</v>
      </c>
      <c r="M20" s="58" t="s">
        <v>50</v>
      </c>
      <c r="N20" s="58" t="s">
        <v>51</v>
      </c>
      <c r="O20" s="58" t="s">
        <v>52</v>
      </c>
      <c r="P20" s="58" t="s">
        <v>53</v>
      </c>
      <c r="Q20" s="58" t="s">
        <v>54</v>
      </c>
      <c r="R20" s="59" t="s">
        <v>55</v>
      </c>
      <c r="S20" s="60" t="s">
        <v>56</v>
      </c>
      <c r="T20" s="60"/>
      <c r="U20" s="68"/>
    </row>
    <row r="21" spans="1:21" ht="12.75">
      <c r="A21" s="103" t="s">
        <v>99</v>
      </c>
      <c r="B21" s="72">
        <f aca="true" t="shared" si="0" ref="B21:I21">B17/($B24/24)</f>
        <v>0.16956410036823089</v>
      </c>
      <c r="C21" s="73">
        <f t="shared" si="0"/>
        <v>0.16956410036823089</v>
      </c>
      <c r="D21" s="73">
        <f t="shared" si="0"/>
        <v>0.030829836430587437</v>
      </c>
      <c r="E21" s="73">
        <f t="shared" si="0"/>
        <v>0.015414918215293718</v>
      </c>
      <c r="F21" s="72">
        <f t="shared" si="0"/>
        <v>0.015414918215293718</v>
      </c>
      <c r="G21" s="72">
        <f t="shared" si="0"/>
        <v>0</v>
      </c>
      <c r="H21" s="72">
        <f t="shared" si="0"/>
        <v>0</v>
      </c>
      <c r="I21" s="72">
        <f t="shared" si="0"/>
        <v>0.0770745910764686</v>
      </c>
      <c r="J21" s="73">
        <f>J17/($B24/24)</f>
        <v>0</v>
      </c>
      <c r="K21" s="73"/>
      <c r="L21" s="73">
        <f>L17/($B24/24)</f>
        <v>0.04624475464588115</v>
      </c>
      <c r="M21" s="72">
        <f>M17/($B24/24)</f>
        <v>0</v>
      </c>
      <c r="N21" s="73"/>
      <c r="O21" s="72">
        <f aca="true" t="shared" si="1" ref="O21:U21">O17/($B24/24)</f>
        <v>0.030829836430587437</v>
      </c>
      <c r="P21" s="72">
        <f t="shared" si="1"/>
        <v>0</v>
      </c>
      <c r="Q21" s="73">
        <f>Q17/($B24/24)</f>
        <v>0</v>
      </c>
      <c r="R21" s="72">
        <f t="shared" si="1"/>
        <v>0</v>
      </c>
      <c r="S21" s="72">
        <f t="shared" si="1"/>
        <v>0</v>
      </c>
      <c r="T21" s="72"/>
      <c r="U21" s="72">
        <f t="shared" si="1"/>
        <v>0.5703519739658676</v>
      </c>
    </row>
    <row r="22" spans="1:22" ht="12.75">
      <c r="A22" s="74" t="s">
        <v>59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5"/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/>
      <c r="U22" s="76">
        <f>SUM(B22:S22)</f>
        <v>0.5950000000000001</v>
      </c>
      <c r="V22" s="77"/>
    </row>
    <row r="24" spans="1:2" ht="12.75">
      <c r="A24" s="34" t="s">
        <v>29</v>
      </c>
      <c r="B24" s="65">
        <f>'Main Data'!D82</f>
        <v>1556.9333333334653</v>
      </c>
    </row>
    <row r="25" spans="1:2" ht="12.75">
      <c r="A25" s="78" t="s">
        <v>33</v>
      </c>
      <c r="B25" s="76">
        <f>'Main Data'!D84</f>
        <v>1647.9999999999418</v>
      </c>
    </row>
    <row r="29" ht="12.75">
      <c r="A29" s="79"/>
    </row>
    <row r="35" ht="12.75">
      <c r="A35" s="80" t="s">
        <v>62</v>
      </c>
    </row>
    <row r="36" spans="1:13" ht="12.75">
      <c r="A36" s="136"/>
      <c r="B36" s="138"/>
      <c r="C36" s="137" t="s">
        <v>10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1:13" ht="12.75">
      <c r="A37" s="137" t="s">
        <v>13</v>
      </c>
      <c r="B37" s="137" t="s">
        <v>37</v>
      </c>
      <c r="C37" s="136" t="s">
        <v>20</v>
      </c>
      <c r="D37" s="140" t="s">
        <v>21</v>
      </c>
      <c r="E37" s="140" t="s">
        <v>63</v>
      </c>
      <c r="F37" s="140" t="s">
        <v>22</v>
      </c>
      <c r="G37" s="140" t="s">
        <v>68</v>
      </c>
      <c r="H37" s="140" t="s">
        <v>72</v>
      </c>
      <c r="I37" s="140" t="s">
        <v>71</v>
      </c>
      <c r="J37" s="140" t="s">
        <v>65</v>
      </c>
      <c r="K37" s="140" t="s">
        <v>67</v>
      </c>
      <c r="L37" s="140" t="s">
        <v>104</v>
      </c>
      <c r="M37" s="141" t="s">
        <v>57</v>
      </c>
    </row>
    <row r="38" spans="1:13" ht="12.75">
      <c r="A38" s="136" t="s">
        <v>106</v>
      </c>
      <c r="B38" s="136" t="s">
        <v>39</v>
      </c>
      <c r="C38" s="142"/>
      <c r="D38" s="143"/>
      <c r="E38" s="143"/>
      <c r="F38" s="143">
        <v>0</v>
      </c>
      <c r="G38" s="143"/>
      <c r="H38" s="143"/>
      <c r="I38" s="143"/>
      <c r="J38" s="143"/>
      <c r="K38" s="143"/>
      <c r="L38" s="143"/>
      <c r="M38" s="144">
        <v>0</v>
      </c>
    </row>
    <row r="39" spans="1:13" ht="12.75">
      <c r="A39" s="168"/>
      <c r="B39" s="145" t="s">
        <v>38</v>
      </c>
      <c r="C39" s="146"/>
      <c r="D39" s="70"/>
      <c r="E39" s="70"/>
      <c r="F39" s="70">
        <v>0</v>
      </c>
      <c r="G39" s="70"/>
      <c r="H39" s="70"/>
      <c r="I39" s="70"/>
      <c r="J39" s="70"/>
      <c r="K39" s="70"/>
      <c r="L39" s="70"/>
      <c r="M39" s="147">
        <v>0</v>
      </c>
    </row>
    <row r="40" spans="1:13" ht="12.75">
      <c r="A40" s="136" t="s">
        <v>15</v>
      </c>
      <c r="B40" s="136" t="s">
        <v>39</v>
      </c>
      <c r="C40" s="142">
        <v>2</v>
      </c>
      <c r="D40" s="143">
        <v>11</v>
      </c>
      <c r="E40" s="143">
        <v>3</v>
      </c>
      <c r="F40" s="143">
        <v>5</v>
      </c>
      <c r="G40" s="143">
        <v>11</v>
      </c>
      <c r="H40" s="143">
        <v>2</v>
      </c>
      <c r="I40" s="143">
        <v>1</v>
      </c>
      <c r="J40" s="143">
        <v>1</v>
      </c>
      <c r="K40" s="143"/>
      <c r="L40" s="143">
        <v>1</v>
      </c>
      <c r="M40" s="144">
        <v>37</v>
      </c>
    </row>
    <row r="41" spans="1:13" ht="12.75">
      <c r="A41" s="168"/>
      <c r="B41" s="145" t="s">
        <v>38</v>
      </c>
      <c r="C41" s="146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/>
      <c r="L41" s="70">
        <v>0</v>
      </c>
      <c r="M41" s="147">
        <v>0</v>
      </c>
    </row>
    <row r="42" spans="1:13" ht="12.75">
      <c r="A42" s="136" t="s">
        <v>69</v>
      </c>
      <c r="B42" s="136" t="s">
        <v>39</v>
      </c>
      <c r="C42" s="142">
        <v>0</v>
      </c>
      <c r="D42" s="143"/>
      <c r="E42" s="143">
        <v>0</v>
      </c>
      <c r="F42" s="143">
        <v>0</v>
      </c>
      <c r="G42" s="143">
        <v>0</v>
      </c>
      <c r="H42" s="143"/>
      <c r="I42" s="143"/>
      <c r="J42" s="143"/>
      <c r="K42" s="143">
        <v>0</v>
      </c>
      <c r="L42" s="143"/>
      <c r="M42" s="144">
        <v>0</v>
      </c>
    </row>
    <row r="43" spans="1:13" ht="12.75">
      <c r="A43" s="168"/>
      <c r="B43" s="145" t="s">
        <v>38</v>
      </c>
      <c r="C43" s="146">
        <v>2</v>
      </c>
      <c r="D43" s="70"/>
      <c r="E43" s="70">
        <v>1</v>
      </c>
      <c r="F43" s="70">
        <v>2</v>
      </c>
      <c r="G43" s="70">
        <v>1</v>
      </c>
      <c r="H43" s="70"/>
      <c r="I43" s="70"/>
      <c r="J43" s="70"/>
      <c r="K43" s="70">
        <v>1</v>
      </c>
      <c r="L43" s="70"/>
      <c r="M43" s="147">
        <v>7</v>
      </c>
    </row>
    <row r="44" spans="1:13" ht="12.75">
      <c r="A44" s="136" t="s">
        <v>41</v>
      </c>
      <c r="B44" s="138"/>
      <c r="C44" s="142">
        <v>2</v>
      </c>
      <c r="D44" s="143">
        <v>11</v>
      </c>
      <c r="E44" s="143">
        <v>3</v>
      </c>
      <c r="F44" s="143">
        <v>5</v>
      </c>
      <c r="G44" s="143">
        <v>11</v>
      </c>
      <c r="H44" s="143">
        <v>2</v>
      </c>
      <c r="I44" s="143">
        <v>1</v>
      </c>
      <c r="J44" s="143">
        <v>1</v>
      </c>
      <c r="K44" s="143">
        <v>0</v>
      </c>
      <c r="L44" s="143">
        <v>1</v>
      </c>
      <c r="M44" s="144">
        <v>37</v>
      </c>
    </row>
    <row r="45" spans="1:13" ht="12.75">
      <c r="A45" s="169" t="s">
        <v>40</v>
      </c>
      <c r="B45" s="170"/>
      <c r="C45" s="171">
        <v>2</v>
      </c>
      <c r="D45" s="172">
        <v>0</v>
      </c>
      <c r="E45" s="172">
        <v>1</v>
      </c>
      <c r="F45" s="172">
        <v>2</v>
      </c>
      <c r="G45" s="172">
        <v>1</v>
      </c>
      <c r="H45" s="172">
        <v>0</v>
      </c>
      <c r="I45" s="172">
        <v>0</v>
      </c>
      <c r="J45" s="172">
        <v>0</v>
      </c>
      <c r="K45" s="172">
        <v>1</v>
      </c>
      <c r="L45" s="172">
        <v>0</v>
      </c>
      <c r="M45" s="173">
        <v>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2022-10-05T13:55:21Z</cp:lastPrinted>
  <dcterms:created xsi:type="dcterms:W3CDTF">1998-01-15T00:06:45Z</dcterms:created>
  <dcterms:modified xsi:type="dcterms:W3CDTF">2022-10-05T18:49:42Z</dcterms:modified>
  <cp:category/>
  <cp:version/>
  <cp:contentType/>
  <cp:contentStatus/>
  <cp:revision>5</cp:revision>
</cp:coreProperties>
</file>