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810" windowHeight="3855" tabRatio="500" activeTab="0"/>
  </bookViews>
  <sheets>
    <sheet name="Main Data" sheetId="1" r:id="rId1"/>
    <sheet name="Stats" sheetId="2" r:id="rId2"/>
    <sheet name="Downtime" sheetId="3" r:id="rId3"/>
    <sheet name="Faults Per Day" sheetId="4" r:id="rId4"/>
  </sheets>
  <definedNames>
    <definedName name="DT_Beamline">"$#REF!.$U$34"</definedName>
    <definedName name="DT_Controls">"$#REF!.$J$34"</definedName>
    <definedName name="DT_Diagnostics">"$#REF!.$L$34"</definedName>
    <definedName name="DT_OAG">"$#REF!.$I$34"</definedName>
    <definedName name="DT_Operations">"$#REF!.$K$34"</definedName>
    <definedName name="DT_Other">"$#REF!.$C$34"</definedName>
    <definedName name="DT_Physics">"$#REF!.$M$34"</definedName>
    <definedName name="DT_PS">"$#REF!.$D$34"</definedName>
    <definedName name="DT_RF">"$#REF!.$E$34"</definedName>
    <definedName name="DT_Scheduled">"$#REF!.$F$34"</definedName>
    <definedName name="DT_Vacuum">"$#REF!.$G$34"</definedName>
    <definedName name="DT_Water">"$#REF!.$H$34"</definedName>
    <definedName name="Excel_BuiltIn_Print_Area" localSheetId="3">'Faults Per Day'!$A$1:$AC$81</definedName>
    <definedName name="Excel_BuiltIn_Print_Area" localSheetId="0">'Main Data'!$A$2:$P$53</definedName>
    <definedName name="Excel_BuiltIn_Print_Area_11">'Main Data'!$A$2:$P$4</definedName>
    <definedName name="Excel_BuiltIn_Print_Area_1_1">'Main Data'!$A$2:$P$44</definedName>
    <definedName name="Excel_BuiltIn_Print_Area_1_1_1">'Main Data'!$A$2:$P$66</definedName>
    <definedName name="Excel_BuiltIn_Print_Area_1_1_11">'Main Data'!$A$2:$P$67</definedName>
    <definedName name="Excel_BuiltIn_Print_Area_1_1_1_1">'Main Data'!$A$2:$P$52</definedName>
    <definedName name="Excel_BuiltIn_Print_Area_41">'Faults Per Day'!$A$1:$W$67</definedName>
    <definedName name="Excel_BuiltIn_Print_Titles" localSheetId="0">'Main Data'!$4:$4</definedName>
    <definedName name="Faults_Day_of_Delivered_Beam">'Main Data'!$D$95</definedName>
    <definedName name="Mean_Time_Between_Faults">'Main Data'!$D$94</definedName>
    <definedName name="Number_of_Fills">'Main Data'!$D$87</definedName>
    <definedName name="Number_of_Intentional_Dumps">'Main Data'!$D$86</definedName>
    <definedName name="Number_of_Lost_Fills">'Main Data'!$D$85</definedName>
    <definedName name="_xlnm.Print_Area" localSheetId="3">'Faults Per Day'!$A$1:$AC$81</definedName>
    <definedName name="_xlnm.Print_Area" localSheetId="0">'Main Data'!$A$2:$P$53</definedName>
    <definedName name="_xlnm.Print_Titles" localSheetId="0">'Main Data'!$4:$4</definedName>
    <definedName name="Refill_Time">'Main Data'!$D$1</definedName>
    <definedName name="Total_Schedule_Run_Length">'Main Data'!$D$91</definedName>
    <definedName name="Total_System_Downtime">'Main Data'!$K$87</definedName>
    <definedName name="Total_User_Beam">'Main Data'!$D$89</definedName>
    <definedName name="Total_User_Downtime">'Main Data'!$D$90</definedName>
    <definedName name="User_Beam_Days">'Main Data'!$E$89</definedName>
    <definedName name="X_ray_Availability">'Main Data'!$D$96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<sst xmlns="http://schemas.openxmlformats.org/spreadsheetml/2006/main" count="192" uniqueCount="84">
  <si>
    <t>Default Storage Ring Refill Time</t>
  </si>
  <si>
    <t xml:space="preserve">     </t>
  </si>
  <si>
    <t>Refill Timing in Days</t>
  </si>
  <si>
    <t>Downtime for Run 2022-3</t>
  </si>
  <si>
    <t>Fill #</t>
  </si>
  <si>
    <t>Start</t>
  </si>
  <si>
    <t>End</t>
  </si>
  <si>
    <t>Length</t>
  </si>
  <si>
    <t>Loss 
Reason</t>
  </si>
  <si>
    <t>DIN #</t>
  </si>
  <si>
    <t>Audit</t>
  </si>
  <si>
    <t>User 
Length</t>
  </si>
  <si>
    <t>System
Length</t>
  </si>
  <si>
    <t>Cause</t>
  </si>
  <si>
    <t>System</t>
  </si>
  <si>
    <t>Group</t>
  </si>
  <si>
    <t>Type</t>
  </si>
  <si>
    <t>Description</t>
  </si>
  <si>
    <t>Store Lost</t>
  </si>
  <si>
    <t>Intention. Dump</t>
  </si>
  <si>
    <t>Inhibits Beam</t>
  </si>
  <si>
    <t>TOTAL</t>
  </si>
  <si>
    <t>RF1 HVPS trip [RF]</t>
  </si>
  <si>
    <t>RF</t>
  </si>
  <si>
    <t>Int Dump: End of Period</t>
  </si>
  <si>
    <t>Scheduled</t>
  </si>
  <si>
    <t>MOM</t>
  </si>
  <si>
    <t>RF-4 Anode OI [RF]</t>
  </si>
  <si>
    <t>AOP</t>
  </si>
  <si>
    <t>Inhibits Beam to User</t>
  </si>
  <si>
    <t>Orbit control issue</t>
  </si>
  <si>
    <t>RF airflow error [RF]</t>
  </si>
  <si>
    <t>S30B:H2 glitch [PS]</t>
  </si>
  <si>
    <t>PS</t>
  </si>
  <si>
    <t>26ID Orbit Error [AOP]</t>
  </si>
  <si>
    <t>S2A:H3 Glitch [PS]</t>
  </si>
  <si>
    <t xml:space="preserve"> </t>
  </si>
  <si>
    <t>Number of Lost Fills</t>
  </si>
  <si>
    <t>Downtime</t>
  </si>
  <si>
    <t>Number of Intentional Dumps</t>
  </si>
  <si>
    <t>User</t>
  </si>
  <si>
    <t>Number of Fills</t>
  </si>
  <si>
    <t>SL</t>
  </si>
  <si>
    <t>Inhibits</t>
  </si>
  <si>
    <t>Total User Beam</t>
  </si>
  <si>
    <t>User Beam days</t>
  </si>
  <si>
    <t>Total User Downtime</t>
  </si>
  <si>
    <t>&lt;-- This downtime includes Gaps Open</t>
  </si>
  <si>
    <t>Total Schedule Run Length</t>
  </si>
  <si>
    <t>Mean Time Between Faults</t>
  </si>
  <si>
    <t>Faults/Day of Delivered Beam</t>
  </si>
  <si>
    <t>X-ray Availability</t>
  </si>
  <si>
    <t>Data</t>
  </si>
  <si>
    <t>MCR</t>
  </si>
  <si>
    <t>Grand Total</t>
  </si>
  <si>
    <t>Sum - Inhibits Beam</t>
  </si>
  <si>
    <t>Sum - Store Lost</t>
  </si>
  <si>
    <t>Sum of System Length</t>
  </si>
  <si>
    <t>Diag</t>
  </si>
  <si>
    <t>Controls</t>
  </si>
  <si>
    <t>Accelerator Intlks</t>
  </si>
  <si>
    <t>Radiation Intlks</t>
  </si>
  <si>
    <t>Water/ME</t>
  </si>
  <si>
    <t>VAC</t>
  </si>
  <si>
    <t>Operations</t>
  </si>
  <si>
    <t>Physics</t>
  </si>
  <si>
    <t>ID-FE</t>
  </si>
  <si>
    <t>Electrical-APS</t>
  </si>
  <si>
    <t>Electrical-ANL</t>
  </si>
  <si>
    <t>Cooling-ANL</t>
  </si>
  <si>
    <t>Other</t>
  </si>
  <si>
    <t>Network</t>
  </si>
  <si>
    <t>Unidentified</t>
  </si>
  <si>
    <t>Total Hours</t>
  </si>
  <si>
    <t>Run 2021-3</t>
  </si>
  <si>
    <t>Budget</t>
  </si>
  <si>
    <t>Hours for Run</t>
  </si>
  <si>
    <t xml:space="preserve">Faults </t>
  </si>
  <si>
    <t>Filter</t>
  </si>
  <si>
    <t>Inhibits Beam To User</t>
  </si>
  <si>
    <t>Total Sum - Store Lost</t>
  </si>
  <si>
    <t>Total Sum - Inhibits Beam</t>
  </si>
  <si>
    <t>Corrector ramp error [MCR]</t>
  </si>
  <si>
    <t>S34 PS H2O leak [PS]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</si>
</sst>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\ hh:mm"/>
    <numFmt numFmtId="165" formatCode="0.00;[Red]0.00;[Blue]&quot;ZERO!!!&quot;"/>
    <numFmt numFmtId="166" formatCode="[$-409]m/d/yyyy\ h:mm"/>
    <numFmt numFmtId="167" formatCode="0.0"/>
    <numFmt numFmtId="168" formatCode="[$-409]mmm\-yy"/>
    <numFmt numFmtId="169" formatCode="&quot; $&quot;#,##0.00\ ;&quot; $(&quot;#,##0.00\);&quot; $-&quot;#\ ;@\ "/>
    <numFmt numFmtId="170" formatCode="0.0%"/>
    <numFmt numFmtId="171" formatCode="0.000000\ ;[Red]\(0.000000\)"/>
    <numFmt numFmtId="172" formatCode="0.0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3.9"/>
      <color indexed="8"/>
      <name val="Arial"/>
      <family val="0"/>
    </font>
    <font>
      <sz val="23"/>
      <color indexed="8"/>
      <name val="Arial"/>
      <family val="0"/>
    </font>
    <font>
      <b/>
      <sz val="18.8"/>
      <color indexed="8"/>
      <name val="Arial"/>
      <family val="0"/>
    </font>
    <font>
      <b/>
      <sz val="17.1"/>
      <color indexed="8"/>
      <name val="Arial"/>
      <family val="0"/>
    </font>
    <font>
      <sz val="12.25"/>
      <color indexed="8"/>
      <name val="Arial"/>
      <family val="0"/>
    </font>
    <font>
      <sz val="12"/>
      <color indexed="8"/>
      <name val="Arial"/>
      <family val="0"/>
    </font>
    <font>
      <sz val="39.9"/>
      <color indexed="8"/>
      <name val="Arial"/>
      <family val="0"/>
    </font>
    <font>
      <b/>
      <sz val="39.9"/>
      <color indexed="8"/>
      <name val="Arial"/>
      <family val="0"/>
    </font>
    <font>
      <b/>
      <sz val="44.6"/>
      <color indexed="8"/>
      <name val="Arial"/>
      <family val="0"/>
    </font>
    <font>
      <sz val="8.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9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9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NumberFormat="1" applyFont="1" applyFill="1" applyBorder="1" applyAlignment="1">
      <alignment horizontal="center" textRotation="90"/>
    </xf>
    <xf numFmtId="164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textRotation="90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textRotation="90"/>
    </xf>
    <xf numFmtId="2" fontId="1" fillId="0" borderId="10" xfId="0" applyNumberFormat="1" applyFont="1" applyFill="1" applyBorder="1" applyAlignment="1">
      <alignment horizontal="center" textRotation="90" wrapText="1"/>
    </xf>
    <xf numFmtId="165" fontId="1" fillId="0" borderId="10" xfId="0" applyNumberFormat="1" applyFont="1" applyFill="1" applyBorder="1" applyAlignment="1">
      <alignment horizontal="center" textRotation="90" wrapText="1"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textRotation="90"/>
    </xf>
    <xf numFmtId="0" fontId="1" fillId="0" borderId="12" xfId="0" applyFont="1" applyFill="1" applyBorder="1" applyAlignment="1">
      <alignment horizontal="center" textRotation="90"/>
    </xf>
    <xf numFmtId="0" fontId="0" fillId="33" borderId="13" xfId="0" applyNumberFormat="1" applyFont="1" applyFill="1" applyBorder="1" applyAlignment="1">
      <alignment horizontal="right"/>
    </xf>
    <xf numFmtId="164" fontId="0" fillId="33" borderId="13" xfId="0" applyNumberFormat="1" applyFont="1" applyFill="1" applyBorder="1" applyAlignment="1">
      <alignment/>
    </xf>
    <xf numFmtId="2" fontId="0" fillId="33" borderId="13" xfId="0" applyNumberFormat="1" applyFont="1" applyFill="1" applyBorder="1" applyAlignment="1">
      <alignment horizontal="right"/>
    </xf>
    <xf numFmtId="0" fontId="0" fillId="33" borderId="13" xfId="0" applyNumberFormat="1" applyFont="1" applyFill="1" applyBorder="1" applyAlignment="1">
      <alignment horizontal="center"/>
    </xf>
    <xf numFmtId="164" fontId="0" fillId="33" borderId="13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/>
    </xf>
    <xf numFmtId="0" fontId="0" fillId="33" borderId="13" xfId="0" applyNumberFormat="1" applyFont="1" applyFill="1" applyBorder="1" applyAlignment="1" applyProtection="1">
      <alignment/>
      <protection/>
    </xf>
    <xf numFmtId="0" fontId="0" fillId="33" borderId="13" xfId="0" applyNumberFormat="1" applyFont="1" applyFill="1" applyBorder="1" applyAlignment="1" applyProtection="1">
      <alignment/>
      <protection locked="0"/>
    </xf>
    <xf numFmtId="0" fontId="0" fillId="33" borderId="13" xfId="0" applyNumberFormat="1" applyFont="1" applyFill="1" applyBorder="1" applyAlignment="1" applyProtection="1">
      <alignment horizontal="left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34" borderId="13" xfId="0" applyNumberFormat="1" applyFont="1" applyFill="1" applyBorder="1" applyAlignment="1">
      <alignment horizontal="right"/>
    </xf>
    <xf numFmtId="164" fontId="0" fillId="34" borderId="13" xfId="0" applyNumberFormat="1" applyFont="1" applyFill="1" applyBorder="1" applyAlignment="1">
      <alignment/>
    </xf>
    <xf numFmtId="2" fontId="0" fillId="34" borderId="13" xfId="0" applyNumberFormat="1" applyFont="1" applyFill="1" applyBorder="1" applyAlignment="1">
      <alignment horizontal="right"/>
    </xf>
    <xf numFmtId="0" fontId="0" fillId="34" borderId="13" xfId="0" applyNumberFormat="1" applyFont="1" applyFill="1" applyBorder="1" applyAlignment="1">
      <alignment horizontal="center"/>
    </xf>
    <xf numFmtId="164" fontId="0" fillId="34" borderId="13" xfId="0" applyNumberFormat="1" applyFont="1" applyFill="1" applyBorder="1" applyAlignment="1">
      <alignment horizontal="center"/>
    </xf>
    <xf numFmtId="0" fontId="0" fillId="34" borderId="13" xfId="0" applyNumberFormat="1" applyFont="1" applyFill="1" applyBorder="1" applyAlignment="1" applyProtection="1">
      <alignment/>
      <protection/>
    </xf>
    <xf numFmtId="0" fontId="0" fillId="34" borderId="13" xfId="0" applyNumberFormat="1" applyFont="1" applyFill="1" applyBorder="1" applyAlignment="1" applyProtection="1">
      <alignment/>
      <protection locked="0"/>
    </xf>
    <xf numFmtId="0" fontId="0" fillId="34" borderId="13" xfId="0" applyNumberFormat="1" applyFont="1" applyFill="1" applyBorder="1" applyAlignment="1" applyProtection="1">
      <alignment horizontal="left"/>
      <protection/>
    </xf>
    <xf numFmtId="0" fontId="0" fillId="34" borderId="0" xfId="0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0" fillId="35" borderId="14" xfId="0" applyNumberFormat="1" applyFont="1" applyFill="1" applyBorder="1" applyAlignment="1">
      <alignment horizontal="right"/>
    </xf>
    <xf numFmtId="164" fontId="0" fillId="35" borderId="15" xfId="0" applyNumberFormat="1" applyFont="1" applyFill="1" applyBorder="1" applyAlignment="1">
      <alignment horizontal="left"/>
    </xf>
    <xf numFmtId="2" fontId="0" fillId="36" borderId="14" xfId="0" applyNumberFormat="1" applyFont="1" applyFill="1" applyBorder="1" applyAlignment="1">
      <alignment horizontal="right"/>
    </xf>
    <xf numFmtId="164" fontId="0" fillId="35" borderId="14" xfId="0" applyNumberFormat="1" applyFont="1" applyFill="1" applyBorder="1" applyAlignment="1">
      <alignment/>
    </xf>
    <xf numFmtId="0" fontId="0" fillId="35" borderId="14" xfId="0" applyNumberFormat="1" applyFont="1" applyFill="1" applyBorder="1" applyAlignment="1">
      <alignment horizontal="center"/>
    </xf>
    <xf numFmtId="164" fontId="0" fillId="35" borderId="14" xfId="0" applyNumberFormat="1" applyFont="1" applyFill="1" applyBorder="1" applyAlignment="1">
      <alignment horizontal="center"/>
    </xf>
    <xf numFmtId="164" fontId="0" fillId="35" borderId="14" xfId="0" applyNumberFormat="1" applyFont="1" applyFill="1" applyBorder="1" applyAlignment="1">
      <alignment horizontal="left"/>
    </xf>
    <xf numFmtId="2" fontId="1" fillId="35" borderId="14" xfId="0" applyNumberFormat="1" applyFont="1" applyFill="1" applyBorder="1" applyAlignment="1">
      <alignment horizontal="right"/>
    </xf>
    <xf numFmtId="0" fontId="0" fillId="35" borderId="14" xfId="0" applyNumberFormat="1" applyFont="1" applyFill="1" applyBorder="1" applyAlignment="1" applyProtection="1">
      <alignment/>
      <protection/>
    </xf>
    <xf numFmtId="0" fontId="0" fillId="35" borderId="14" xfId="0" applyNumberFormat="1" applyFont="1" applyFill="1" applyBorder="1" applyAlignment="1" applyProtection="1">
      <alignment/>
      <protection locked="0"/>
    </xf>
    <xf numFmtId="0" fontId="0" fillId="35" borderId="14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>
      <alignment/>
    </xf>
    <xf numFmtId="164" fontId="0" fillId="34" borderId="13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 horizontal="left"/>
      <protection/>
    </xf>
    <xf numFmtId="165" fontId="0" fillId="0" borderId="0" xfId="0" applyNumberFormat="1" applyFont="1" applyFill="1" applyAlignment="1">
      <alignment/>
    </xf>
    <xf numFmtId="1" fontId="0" fillId="0" borderId="16" xfId="0" applyNumberFormat="1" applyFont="1" applyFill="1" applyBorder="1" applyAlignment="1">
      <alignment horizontal="right"/>
    </xf>
    <xf numFmtId="2" fontId="0" fillId="0" borderId="16" xfId="0" applyNumberFormat="1" applyFont="1" applyFill="1" applyBorder="1" applyAlignment="1">
      <alignment horizontal="right"/>
    </xf>
    <xf numFmtId="166" fontId="0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2" fontId="0" fillId="0" borderId="0" xfId="44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Alignment="1">
      <alignment/>
    </xf>
    <xf numFmtId="168" fontId="2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70" fontId="0" fillId="0" borderId="0" xfId="63" applyNumberFormat="1" applyFont="1" applyFill="1" applyBorder="1" applyAlignment="1" applyProtection="1">
      <alignment horizontal="right"/>
      <protection/>
    </xf>
    <xf numFmtId="171" fontId="2" fillId="0" borderId="0" xfId="0" applyNumberFormat="1" applyFont="1" applyFill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9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5" xfId="0" applyNumberFormat="1" applyBorder="1" applyAlignment="1">
      <alignment/>
    </xf>
    <xf numFmtId="0" fontId="0" fillId="0" borderId="26" xfId="0" applyFon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1" fillId="0" borderId="29" xfId="0" applyFont="1" applyBorder="1" applyAlignment="1" applyProtection="1">
      <alignment/>
      <protection locked="0"/>
    </xf>
    <xf numFmtId="0" fontId="1" fillId="0" borderId="3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 applyProtection="1">
      <alignment/>
      <protection locked="0"/>
    </xf>
    <xf numFmtId="170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0" fillId="0" borderId="0" xfId="0" applyNumberFormat="1" applyAlignment="1">
      <alignment/>
    </xf>
    <xf numFmtId="1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172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170" fontId="0" fillId="0" borderId="0" xfId="63" applyNumberFormat="1" applyFont="1" applyFill="1" applyBorder="1" applyAlignment="1" applyProtection="1">
      <alignment vertical="top" wrapText="1"/>
      <protection locked="0"/>
    </xf>
    <xf numFmtId="2" fontId="0" fillId="0" borderId="0" xfId="63" applyNumberFormat="1" applyFont="1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4" fillId="0" borderId="0" xfId="0" applyNumberFormat="1" applyFont="1" applyFill="1" applyAlignment="1">
      <alignment horizontal="right"/>
    </xf>
    <xf numFmtId="0" fontId="0" fillId="0" borderId="31" xfId="0" applyBorder="1" applyAlignment="1">
      <alignment/>
    </xf>
    <xf numFmtId="0" fontId="0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3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Pilot Category" xfId="46"/>
    <cellStyle name="DataPilot Corner" xfId="47"/>
    <cellStyle name="DataPilot Field" xfId="48"/>
    <cellStyle name="DataPilot Result" xfId="49"/>
    <cellStyle name="DataPilot Title" xfId="50"/>
    <cellStyle name="DataPilot Value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6B6B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2021-3 Downtime by System 
October 4 - December 21 
 Scheduled User Time =  1601  hours     
User downtime =  32.37 hours</a:t>
            </a:r>
          </a:p>
        </c:rich>
      </c:tx>
      <c:layout>
        <c:manualLayout>
          <c:xMode val="factor"/>
          <c:yMode val="factor"/>
          <c:x val="-0.001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8675"/>
          <c:w val="0.85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Stats!$A$15</c:f>
              <c:strCache>
                <c:ptCount val="1"/>
                <c:pt idx="0">
                  <c:v>Run 2021-3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Stats!$B$13:$R$13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Radiation Intlks</c:v>
                </c:pt>
                <c:pt idx="6">
                  <c:v>Water/ME</c:v>
                </c:pt>
                <c:pt idx="7">
                  <c:v>VAC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Stats!$B$15:$R$15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Stats!$A$16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Stats!$B$13:$R$13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Radiation Intlks</c:v>
                </c:pt>
                <c:pt idx="6">
                  <c:v>Water/ME</c:v>
                </c:pt>
                <c:pt idx="7">
                  <c:v>VAC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Stats!$B$16:$R$16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0.0028</c:v>
                </c:pt>
                <c:pt idx="5">
                  <c:v>0.0028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48446692"/>
        <c:axId val="33367045"/>
      </c:barChart>
      <c:catAx>
        <c:axId val="48446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39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67045"/>
        <c:crossesAt val="0"/>
        <c:auto val="1"/>
        <c:lblOffset val="100"/>
        <c:tickLblSkip val="1"/>
        <c:noMultiLvlLbl val="0"/>
      </c:catAx>
      <c:valAx>
        <c:axId val="33367045"/>
        <c:scaling>
          <c:orientation val="minMax"/>
          <c:max val="0.0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8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Scheduled User Time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46692"/>
        <c:crossesAt val="1"/>
        <c:crossBetween val="between"/>
        <c:dispUnits/>
        <c:majorUnit val="0.0025"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6"/>
          <c:y val="0.54975"/>
          <c:w val="0.20925"/>
          <c:h val="0.02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4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2021-3 Faults Per Day By System</a:t>
            </a:r>
          </a:p>
        </c:rich>
      </c:tx>
      <c:layout>
        <c:manualLayout>
          <c:xMode val="factor"/>
          <c:yMode val="factor"/>
          <c:x val="-0.009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765"/>
          <c:w val="0.93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Stats!$A$22</c:f>
              <c:strCache>
                <c:ptCount val="1"/>
                <c:pt idx="0">
                  <c:v>Run 2021-3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Stats!$B$21:$Q$21</c:f>
              <c:strCache>
                <c:ptCount val="16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Radiation Intlks</c:v>
                </c:pt>
                <c:pt idx="6">
                  <c:v>MOM</c:v>
                </c:pt>
                <c:pt idx="7">
                  <c:v>Operations</c:v>
                </c:pt>
                <c:pt idx="8">
                  <c:v>Physics</c:v>
                </c:pt>
                <c:pt idx="9">
                  <c:v>ID-FE</c:v>
                </c:pt>
                <c:pt idx="10">
                  <c:v>Electrical-APS</c:v>
                </c:pt>
                <c:pt idx="11">
                  <c:v>Electrical-ANL</c:v>
                </c:pt>
                <c:pt idx="12">
                  <c:v>Cooling-ANL</c:v>
                </c:pt>
                <c:pt idx="13">
                  <c:v>Other</c:v>
                </c:pt>
                <c:pt idx="14">
                  <c:v>Network</c:v>
                </c:pt>
                <c:pt idx="15">
                  <c:v>Unidentified</c:v>
                </c:pt>
              </c:strCache>
            </c:strRef>
          </c:cat>
          <c:val>
            <c:numRef>
              <c:f>Stats!$B$22:$Q$22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Stats!$A$23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Stats!$B$21:$Q$21</c:f>
              <c:strCache>
                <c:ptCount val="16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Radiation Intlks</c:v>
                </c:pt>
                <c:pt idx="6">
                  <c:v>MOM</c:v>
                </c:pt>
                <c:pt idx="7">
                  <c:v>Operations</c:v>
                </c:pt>
                <c:pt idx="8">
                  <c:v>Physics</c:v>
                </c:pt>
                <c:pt idx="9">
                  <c:v>ID-FE</c:v>
                </c:pt>
                <c:pt idx="10">
                  <c:v>Electrical-APS</c:v>
                </c:pt>
                <c:pt idx="11">
                  <c:v>Electrical-ANL</c:v>
                </c:pt>
                <c:pt idx="12">
                  <c:v>Cooling-ANL</c:v>
                </c:pt>
                <c:pt idx="13">
                  <c:v>Other</c:v>
                </c:pt>
                <c:pt idx="14">
                  <c:v>Network</c:v>
                </c:pt>
                <c:pt idx="15">
                  <c:v>Unidentified</c:v>
                </c:pt>
              </c:strCache>
            </c:strRef>
          </c:cat>
          <c:val>
            <c:numRef>
              <c:f>Stats!$B$23:$Q$23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0.12</c:v>
                </c:pt>
                <c:pt idx="3">
                  <c:v>0.05</c:v>
                </c:pt>
                <c:pt idx="4">
                  <c:v>0.035</c:v>
                </c:pt>
                <c:pt idx="5">
                  <c:v>0.02</c:v>
                </c:pt>
                <c:pt idx="6">
                  <c:v>0.06</c:v>
                </c:pt>
                <c:pt idx="7">
                  <c:v>0.02</c:v>
                </c:pt>
                <c:pt idx="8">
                  <c:v>0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0.02</c:v>
                </c:pt>
                <c:pt idx="14">
                  <c:v>0.01</c:v>
                </c:pt>
                <c:pt idx="15">
                  <c:v>0.02</c:v>
                </c:pt>
              </c:numCache>
            </c:numRef>
          </c:val>
        </c:ser>
        <c:axId val="31867950"/>
        <c:axId val="18376095"/>
      </c:barChart>
      <c:catAx>
        <c:axId val="31867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76095"/>
        <c:crossesAt val="0"/>
        <c:auto val="1"/>
        <c:lblOffset val="100"/>
        <c:tickLblSkip val="1"/>
        <c:noMultiLvlLbl val="0"/>
      </c:catAx>
      <c:valAx>
        <c:axId val="18376095"/>
        <c:scaling>
          <c:orientation val="minMax"/>
          <c:max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99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Faults/Day</a:t>
                </a:r>
              </a:p>
            </c:rich>
          </c:tx>
          <c:layout>
            <c:manualLayout>
              <c:xMode val="factor"/>
              <c:yMode val="factor"/>
              <c:x val="-0.019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9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67950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6"/>
          <c:y val="0.97025"/>
          <c:w val="0.1115"/>
          <c:h val="0.01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85</xdr:row>
      <xdr:rowOff>76200</xdr:rowOff>
    </xdr:from>
    <xdr:to>
      <xdr:col>11</xdr:col>
      <xdr:colOff>85725</xdr:colOff>
      <xdr:row>86</xdr:row>
      <xdr:rowOff>85725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8896350" y="155067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42</xdr:row>
      <xdr:rowOff>76200</xdr:rowOff>
    </xdr:from>
    <xdr:to>
      <xdr:col>11</xdr:col>
      <xdr:colOff>47625</xdr:colOff>
      <xdr:row>43</xdr:row>
      <xdr:rowOff>95250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867775" y="8362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123825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2506325" cy="1165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57150</xdr:rowOff>
    </xdr:from>
    <xdr:to>
      <xdr:col>28</xdr:col>
      <xdr:colOff>276225</xdr:colOff>
      <xdr:row>78</xdr:row>
      <xdr:rowOff>104775</xdr:rowOff>
    </xdr:to>
    <xdr:graphicFrame>
      <xdr:nvGraphicFramePr>
        <xdr:cNvPr id="1" name="Chart 1"/>
        <xdr:cNvGraphicFramePr/>
      </xdr:nvGraphicFramePr>
      <xdr:xfrm>
        <a:off x="0" y="542925"/>
        <a:ext cx="17345025" cy="1219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T40" sheet="Main Data"/>
  </cacheSource>
  <cacheFields count="20">
    <cacheField name="Fill #">
      <sharedItems containsString="0" containsBlank="1" containsMixedTypes="0" containsNumber="1" containsInteger="1" count="23">
        <n v="1"/>
        <n v="2"/>
        <m/>
        <n v="5"/>
        <n v="6"/>
        <n v="7"/>
        <n v="8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</sharedItems>
    </cacheField>
    <cacheField name="Start">
      <sharedItems containsDate="1" containsString="0" containsBlank="1" containsMixedTypes="0" count="23">
        <d v="2022-10-03T08:00:00.000"/>
        <d v="2021-10-09T23:41:00.000"/>
        <m/>
        <d v="2021-10-12T08:00:00.000"/>
        <d v="2021-10-13T18:14:00.000"/>
        <d v="2021-10-15T02:19:00.000"/>
        <d v="2021-10-15T18:26:00.000"/>
        <d v="2021-10-16T10:09:59.000"/>
        <d v="2021-10-19T08:28:00.000"/>
        <d v="2021-10-21T18:04:59.000"/>
        <d v="2021-10-26T08:00:00.000"/>
        <d v="2021-11-02T08:00:00.000"/>
        <d v="2021-11-05T18:55:00.000"/>
        <d v="2021-11-09T08:00:00.000"/>
        <d v="2021-11-13T06:58:00.000"/>
        <d v="2021-11-17T08:00:00.000"/>
        <d v="2021-11-20T21:59:00.000"/>
        <d v="2021-11-26T08:00:00.000"/>
        <d v="2021-11-26T13:47:00.000"/>
        <d v="2021-12-01T15:43:00.000"/>
        <d v="2021-12-05T03:33:59.000"/>
        <d v="2021-12-08T08:00:00.000"/>
        <d v="2021-12-14T08:00:00.000"/>
      </sharedItems>
    </cacheField>
    <cacheField name="End">
      <sharedItems containsDate="1" containsString="0" containsBlank="1" containsMixedTypes="0" count="23">
        <d v="2022-10-04T13:08:00.000"/>
        <d v="2021-10-11T08:00:00.000"/>
        <m/>
        <d v="2021-10-13T02:13:59.000"/>
        <d v="2021-10-15T01:08:00.000"/>
        <d v="2021-10-15T17:30:59.000"/>
        <d v="2021-10-16T06:05:59.000"/>
        <d v="2021-10-18T08:00:00.000"/>
        <d v="2021-10-21T16:59:00.000"/>
        <d v="2021-10-25T08:00:00.000"/>
        <d v="2021-11-01T08:00:00.000"/>
        <d v="2021-11-05T18:26:00.000"/>
        <d v="2021-11-08T08:00:00.000"/>
        <d v="2021-11-13T06:02:59.000"/>
        <d v="2021-11-15T08:00:00.000"/>
        <d v="2021-11-20T20:46:59.000"/>
        <d v="2021-11-25T00:00:00.000"/>
        <d v="2021-11-26T12:49:00.000"/>
        <d v="2021-12-01T14:45:00.000"/>
        <d v="2021-12-05T02:55:00.000"/>
        <d v="2021-12-06T08:00:00.000"/>
        <d v="2021-12-13T08:00:00.000"/>
        <d v="2021-12-21T08:00:00.000"/>
      </sharedItems>
    </cacheField>
    <cacheField name="Length">
      <sharedItems containsString="0" containsBlank="1" containsMixedTypes="0" containsNumber="1" count="31">
        <n v="29.13333333330229"/>
        <n v="32.31666666670935"/>
        <n v="61.45000000001164"/>
        <n v="18.2333333332208"/>
        <n v="30.899999999965075"/>
        <n v="15.199999999953434"/>
        <n v="11.666666666627862"/>
        <n v="45.833333333430346"/>
        <n v="121.83333333319752"/>
        <n v="0"/>
        <n v="56.516666666662786"/>
        <n v="86.91666666680248"/>
        <n v="143.43333333346527"/>
        <n v="144"/>
        <n v="82.43333333329065"/>
        <n v="61.08333333337214"/>
        <n v="143.5166666666628"/>
        <n v="94.04999999993015"/>
        <n v="49.03333333338378"/>
        <n v="143.08333333331393"/>
        <n v="84.78333333326736"/>
        <n v="98.01666666660458"/>
        <n v="182.79999999987194"/>
        <n v="4.816666666651145"/>
        <n v="120.96666666667443"/>
        <n v="83.20000000001164"/>
        <n v="28.43333333346527"/>
        <n v="237.41666666680248"/>
        <n v="120"/>
        <n v="168"/>
        <m/>
      </sharedItems>
    </cacheField>
    <cacheField name="Loss &#10;Reason">
      <sharedItems containsBlank="1" containsMixedTypes="0" count="10">
        <s v="RF1 HVPS trip [RF]"/>
        <s v="Int Dump: End of Period"/>
        <m/>
        <s v="S:BM Ground Fault [MOM]"/>
        <s v="RF-4 Anode OI [RF]"/>
        <s v="RF-1 Kalmus trip [RF]"/>
        <s v="RF airflow error [RF]"/>
        <s v="S30B:H2 glitch [PS]"/>
        <s v="26ID Orbit Error [AOP]"/>
        <s v="S2A:H3 Glitch [PS]"/>
      </sharedItems>
    </cacheField>
    <cacheField name="DIN #">
      <sharedItems containsString="0" containsBlank="1" count="1">
        <m/>
      </sharedItems>
    </cacheField>
    <cacheField name="Audit">
      <sharedItems containsString="0" containsBlank="1" count="1">
        <m/>
      </sharedItems>
    </cacheField>
    <cacheField name="Start">
      <sharedItems containsDate="1" containsString="0" containsBlank="1" containsMixedTypes="0" count="14">
        <d v="2021-10-09T12:40:00.000"/>
        <m/>
        <d v="2021-10-13T02:13:59.000"/>
        <d v="2021-10-15T01:08:00.000"/>
        <d v="2021-10-15T17:30:59.000"/>
        <d v="2021-10-16T06:05:59.000"/>
        <d v="2021-10-19T08:00:00.000"/>
        <d v="2021-10-21T16:59:00.000"/>
        <d v="2021-11-05T18:26:00.000"/>
        <d v="2021-11-13T06:02:59.000"/>
        <d v="2021-11-20T20:46:59.000"/>
        <d v="2021-11-26T12:49:00.000"/>
        <d v="2021-12-01T14:45:00.000"/>
        <d v="2021-12-05T02:55:00.000"/>
      </sharedItems>
    </cacheField>
    <cacheField name="End">
      <sharedItems containsDate="1" containsString="0" containsBlank="1" containsMixedTypes="0" count="14">
        <d v="2021-10-09T13:47:00.000"/>
        <m/>
        <d v="2021-10-13T18:14:00.000"/>
        <d v="2021-10-15T02:19:00.000"/>
        <d v="2021-10-15T18:26:00.000"/>
        <d v="2021-10-16T10:09:59.000"/>
        <d v="2021-10-19T08:28:00.000"/>
        <d v="2021-10-21T18:04:59.000"/>
        <d v="2021-11-05T18:55:00.000"/>
        <d v="2021-11-13T06:58:00.000"/>
        <d v="2021-11-20T21:59:00.000"/>
        <d v="2021-11-26T13:47:00.000"/>
        <d v="2021-12-01T15:43:00.000"/>
        <d v="2021-12-05T03:33:59.000"/>
      </sharedItems>
    </cacheField>
    <cacheField name="User &#10;Length">
      <sharedItems containsString="0" containsBlank="1" containsMixedTypes="0" containsNumber="1" count="16">
        <n v="1.116666666639503"/>
        <n v="0"/>
        <n v="16.000000000116415"/>
        <n v="1.1833333333488554"/>
        <n v="0.9166666666860692"/>
        <n v="4.066666666651145"/>
        <n v="22.166666666802485"/>
        <n v="0.46666666661622"/>
        <n v="1.0999999999185093"/>
        <n v="1.5666666665347293"/>
        <n v="0.48333333333721384"/>
        <n v="1.2000000000698492"/>
        <n v="0.9666666666744277"/>
        <n v="0.6499999998486601"/>
        <n v="2.5833333331975155"/>
        <m/>
      </sharedItems>
    </cacheField>
    <cacheField name="System&#10;Length">
      <sharedItems containsString="0" containsBlank="1" containsMixedTypes="0" containsNumber="1" count="16">
        <n v="1.116666666639503"/>
        <n v="0"/>
        <n v="16.000000000116415"/>
        <n v="1.1833333333488554"/>
        <n v="0.9166666666860692"/>
        <n v="4.066666666651145"/>
        <n v="22.166666666802485"/>
        <n v="0.46666666661622"/>
        <n v="1.0999999999185093"/>
        <n v="1.5666666665347293"/>
        <n v="0.48333333333721384"/>
        <n v="1.2000000000698492"/>
        <n v="0.9666666666744277"/>
        <n v="0.6499999998486601"/>
        <n v="2.5833333331975155"/>
        <m/>
      </sharedItems>
    </cacheField>
    <cacheField name="Cause">
      <sharedItems containsBlank="1" containsMixedTypes="0" count="5">
        <s v="RF"/>
        <m/>
        <s v="MOM"/>
        <s v="AOP"/>
        <s v="PS"/>
      </sharedItems>
    </cacheField>
    <cacheField name="System">
      <sharedItems containsBlank="1" containsMixedTypes="0" count="5">
        <s v="RF"/>
        <m/>
        <s v="MOM"/>
        <s v="AOP"/>
        <s v="PS"/>
      </sharedItems>
    </cacheField>
    <cacheField name="Group">
      <sharedItems containsBlank="1" containsMixedTypes="0" count="5">
        <s v="RF"/>
        <m/>
        <s v="MOM"/>
        <s v="AOP"/>
        <s v="PS"/>
      </sharedItems>
    </cacheField>
    <cacheField name="Type">
      <sharedItems containsBlank="1" containsMixedTypes="0" count="4">
        <s v="Store Lost"/>
        <s v="Scheduled"/>
        <m/>
        <s v="Inhibits Beam to User"/>
      </sharedItems>
    </cacheField>
    <cacheField name="Description">
      <sharedItems containsBlank="1" containsMixedTypes="0" count="2">
        <m/>
        <s v="Orbit control issue"/>
      </sharedItems>
    </cacheField>
    <cacheField name="Store Lost">
      <sharedItems containsString="0" containsBlank="1" containsMixedTypes="0" containsNumber="1" containsInteger="1" count="2">
        <n v="1"/>
        <m/>
      </sharedItems>
    </cacheField>
    <cacheField name="Intention. Dump">
      <sharedItems containsString="0" containsBlank="1" containsMixedTypes="0" containsNumber="1" containsInteger="1" count="2">
        <m/>
        <n v="1"/>
      </sharedItems>
    </cacheField>
    <cacheField name="Inhibits Beam">
      <sharedItems containsString="0" containsBlank="1" containsMixedTypes="0" containsNumber="1" containsInteger="1" count="2">
        <m/>
        <n v="1"/>
      </sharedItems>
    </cacheField>
    <cacheField name="TOTAL">
      <sharedItems containsString="0" containsBlank="1" containsMixedTypes="0" containsNumber="1" containsInteger="1" count="3">
        <n v="1"/>
        <n v="0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1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G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6">
        <item x="0"/>
        <item h="1" x="1"/>
        <item x="2"/>
        <item x="3"/>
        <item x="4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-2"/>
  </rowFields>
  <rowItems count="3">
    <i>
      <x/>
    </i>
    <i>
      <x/>
    </i>
    <i>
      <x/>
    </i>
  </rowItems>
  <colFields count="1">
    <field x="13"/>
  </colFields>
  <colItems count="6">
    <i>
      <x/>
    </i>
    <i>
      <x/>
    </i>
    <i>
      <x/>
    </i>
    <i>
      <x/>
    </i>
    <i>
      <x/>
    </i>
    <i>
      <x/>
    </i>
  </colItems>
  <dataFields count="3">
    <dataField name="Sum - Inhibits Beam" fld="18" baseField="0" baseItem="2"/>
    <dataField name="Sum - Store Lost" fld="16" baseField="0" baseItem="2"/>
    <dataField name="Sum of System Length" fld="10" baseField="0" baseItem="2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H44" firstHeaderRow="1" firstDataRow="2" firstDataCol="2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defaultSubtotal="0">
      <items count="5">
        <item x="0"/>
        <item h="1" x="1"/>
        <item x="2"/>
        <item x="3"/>
        <item x="4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4">
        <item x="0"/>
        <item x="1"/>
        <item x="2"/>
        <item x="3"/>
      </items>
    </pivotField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14"/>
    <field x="-2"/>
  </rowFields>
  <rowItems count="6">
    <i>
      <x/>
      <x/>
    </i>
    <i>
      <x/>
      <x/>
    </i>
    <i>
      <x/>
      <x/>
    </i>
    <i>
      <x/>
      <x/>
    </i>
    <i>
      <x/>
      <x/>
    </i>
    <i>
      <x/>
      <x/>
    </i>
  </rowItems>
  <colFields count="1">
    <field x="11"/>
  </colFields>
  <colItems count="6">
    <i>
      <x/>
    </i>
    <i>
      <x/>
    </i>
    <i>
      <x/>
    </i>
    <i>
      <x/>
    </i>
    <i>
      <x/>
    </i>
    <i>
      <x/>
    </i>
  </colItems>
  <dataFields count="2">
    <dataField name="Sum - Store Lost" fld="16" baseField="0" baseItem="2"/>
    <dataField name="Sum - Inhibits Beam" fld="18" baseField="0" baseItem="2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3"/>
  <sheetViews>
    <sheetView tabSelected="1" zoomScaleSheetLayoutView="80" zoomScalePageLayoutView="0" workbookViewId="0" topLeftCell="B6">
      <selection activeCell="C19" sqref="C19"/>
    </sheetView>
  </sheetViews>
  <sheetFormatPr defaultColWidth="9.00390625" defaultRowHeight="12.75"/>
  <cols>
    <col min="1" max="1" width="6.7109375" style="1" customWidth="1"/>
    <col min="2" max="2" width="15.7109375" style="2" customWidth="1"/>
    <col min="3" max="3" width="16.57421875" style="2" customWidth="1"/>
    <col min="4" max="4" width="9.28125" style="3" customWidth="1"/>
    <col min="5" max="5" width="27.140625" style="4" customWidth="1"/>
    <col min="6" max="6" width="9.28125" style="5" customWidth="1"/>
    <col min="7" max="7" width="3.28125" style="6" customWidth="1"/>
    <col min="8" max="8" width="14.28125" style="7" customWidth="1"/>
    <col min="9" max="9" width="15.8515625" style="7" customWidth="1"/>
    <col min="10" max="10" width="7.57421875" style="3" customWidth="1"/>
    <col min="11" max="11" width="7.7109375" style="8" customWidth="1"/>
    <col min="12" max="12" width="11.28125" style="9" customWidth="1"/>
    <col min="13" max="13" width="13.140625" style="10" customWidth="1"/>
    <col min="14" max="14" width="11.28125" style="10" customWidth="1"/>
    <col min="15" max="15" width="21.57421875" style="9" customWidth="1"/>
    <col min="16" max="16" width="68.140625" style="11" customWidth="1"/>
    <col min="17" max="19" width="5.7109375" style="12" customWidth="1"/>
    <col min="20" max="16384" width="9.00390625" style="12" customWidth="1"/>
  </cols>
  <sheetData>
    <row r="1" spans="1:24" ht="12.75">
      <c r="A1" s="13" t="s">
        <v>0</v>
      </c>
      <c r="B1" s="14"/>
      <c r="C1" s="14"/>
      <c r="D1" s="15">
        <v>0.25</v>
      </c>
      <c r="E1" s="16" t="s">
        <v>1</v>
      </c>
      <c r="F1" s="17"/>
      <c r="G1" s="18"/>
      <c r="H1" s="19"/>
      <c r="I1" s="19"/>
      <c r="J1" s="15"/>
      <c r="K1" s="20"/>
      <c r="L1" s="21"/>
      <c r="M1" s="22"/>
      <c r="N1" s="22"/>
      <c r="O1" s="21"/>
      <c r="P1" s="23"/>
      <c r="W1" s="24" t="s">
        <v>2</v>
      </c>
      <c r="X1" s="12">
        <f>D1/24</f>
        <v>0.010416666666666666</v>
      </c>
    </row>
    <row r="2" spans="1:16" ht="26.25">
      <c r="A2" s="161" t="s">
        <v>3</v>
      </c>
      <c r="B2" s="161"/>
      <c r="C2" s="161"/>
      <c r="D2" s="161"/>
      <c r="E2" s="161"/>
      <c r="F2" s="161"/>
      <c r="G2" s="161"/>
      <c r="H2" s="161"/>
      <c r="I2" s="161"/>
      <c r="J2" s="25"/>
      <c r="K2" s="25"/>
      <c r="L2" s="26"/>
      <c r="M2" s="27"/>
      <c r="N2" s="27"/>
      <c r="O2" s="26"/>
      <c r="P2" s="23"/>
    </row>
    <row r="3" spans="1:20" s="30" customFormat="1" ht="20.25" customHeight="1">
      <c r="A3" s="28"/>
      <c r="B3" s="14"/>
      <c r="C3" s="14"/>
      <c r="D3" s="15"/>
      <c r="E3" s="16"/>
      <c r="F3" s="29"/>
      <c r="G3" s="18"/>
      <c r="H3" s="19"/>
      <c r="I3" s="19"/>
      <c r="J3" s="15"/>
      <c r="K3" s="20"/>
      <c r="L3" s="21"/>
      <c r="M3" s="22"/>
      <c r="N3" s="22"/>
      <c r="O3" s="21"/>
      <c r="P3" s="23"/>
      <c r="Q3" s="12"/>
      <c r="R3" s="12"/>
      <c r="S3" s="12"/>
      <c r="T3" s="12"/>
    </row>
    <row r="4" spans="1:20" s="30" customFormat="1" ht="66.75" customHeight="1">
      <c r="A4" s="31" t="s">
        <v>4</v>
      </c>
      <c r="B4" s="32" t="s">
        <v>5</v>
      </c>
      <c r="C4" s="32" t="s">
        <v>6</v>
      </c>
      <c r="D4" s="33" t="s">
        <v>7</v>
      </c>
      <c r="E4" s="34" t="s">
        <v>8</v>
      </c>
      <c r="F4" s="31" t="s">
        <v>9</v>
      </c>
      <c r="G4" s="35" t="s">
        <v>10</v>
      </c>
      <c r="H4" s="32" t="s">
        <v>5</v>
      </c>
      <c r="I4" s="32" t="s">
        <v>6</v>
      </c>
      <c r="J4" s="36" t="s">
        <v>11</v>
      </c>
      <c r="K4" s="37" t="s">
        <v>12</v>
      </c>
      <c r="L4" s="38" t="s">
        <v>13</v>
      </c>
      <c r="M4" s="39" t="s">
        <v>14</v>
      </c>
      <c r="N4" s="39" t="s">
        <v>15</v>
      </c>
      <c r="O4" s="38" t="s">
        <v>16</v>
      </c>
      <c r="P4" s="40" t="s">
        <v>17</v>
      </c>
      <c r="Q4" s="41" t="s">
        <v>18</v>
      </c>
      <c r="R4" s="41" t="s">
        <v>19</v>
      </c>
      <c r="S4" s="41" t="s">
        <v>20</v>
      </c>
      <c r="T4" s="42" t="s">
        <v>21</v>
      </c>
    </row>
    <row r="5" spans="1:23" s="55" customFormat="1" ht="15.75" customHeight="1">
      <c r="A5" s="43">
        <v>1</v>
      </c>
      <c r="B5" s="44">
        <v>44837.333333333336</v>
      </c>
      <c r="C5" s="44">
        <v>44838.54722222222</v>
      </c>
      <c r="D5" s="45">
        <f>(C5-B5)*24</f>
        <v>29.13333333330229</v>
      </c>
      <c r="E5" s="44" t="s">
        <v>22</v>
      </c>
      <c r="F5" s="46"/>
      <c r="G5" s="47"/>
      <c r="H5" s="44">
        <v>44838.54722222222</v>
      </c>
      <c r="I5" s="48">
        <v>44838.54722222222</v>
      </c>
      <c r="J5" s="45">
        <f>(I5-H5)*24</f>
        <v>0</v>
      </c>
      <c r="K5" s="45">
        <f>(I5-H5)*24</f>
        <v>0</v>
      </c>
      <c r="L5" s="49" t="s">
        <v>23</v>
      </c>
      <c r="M5" s="50" t="s">
        <v>23</v>
      </c>
      <c r="N5" s="50" t="s">
        <v>23</v>
      </c>
      <c r="O5" s="51" t="s">
        <v>18</v>
      </c>
      <c r="P5" s="44"/>
      <c r="Q5" s="52">
        <f aca="true" t="shared" si="0" ref="Q5:Q39">IF($O5="Store Lost",1,"")</f>
        <v>1</v>
      </c>
      <c r="R5" s="52">
        <f aca="true" t="shared" si="1" ref="R5:R39">IF($O5="Scheduled",1,"")</f>
      </c>
      <c r="S5" s="52">
        <f aca="true" t="shared" si="2" ref="S5:S39">IF($O5="Inhibits beam to user",1,"")</f>
      </c>
      <c r="T5" s="53">
        <f aca="true" t="shared" si="3" ref="T5:T39">SUM(Q5:S5)</f>
        <v>1</v>
      </c>
      <c r="U5" s="54"/>
      <c r="V5" s="54"/>
      <c r="W5" s="54"/>
    </row>
    <row r="6" spans="1:23" s="65" customFormat="1" ht="12.75">
      <c r="A6" s="56">
        <v>2</v>
      </c>
      <c r="B6" s="57">
        <v>44838.54722222222</v>
      </c>
      <c r="C6" s="57">
        <v>44844.333333333336</v>
      </c>
      <c r="D6" s="58">
        <f>(C6-B6)*24</f>
        <v>138.8666666666977</v>
      </c>
      <c r="E6" s="57" t="s">
        <v>24</v>
      </c>
      <c r="F6" s="59"/>
      <c r="G6" s="60"/>
      <c r="H6" s="57"/>
      <c r="I6" s="57"/>
      <c r="J6" s="58">
        <f>(I6-H6)*24</f>
        <v>0</v>
      </c>
      <c r="K6" s="58">
        <f>(I6-H6)*24</f>
        <v>0</v>
      </c>
      <c r="L6" s="61"/>
      <c r="M6" s="62"/>
      <c r="N6" s="62"/>
      <c r="O6" s="63" t="s">
        <v>25</v>
      </c>
      <c r="P6" s="57"/>
      <c r="Q6" s="52">
        <f t="shared" si="0"/>
      </c>
      <c r="R6" s="52">
        <f t="shared" si="1"/>
        <v>1</v>
      </c>
      <c r="S6" s="52">
        <f t="shared" si="2"/>
      </c>
      <c r="T6" s="53">
        <f t="shared" si="3"/>
        <v>1</v>
      </c>
      <c r="U6" s="64"/>
      <c r="V6" s="64"/>
      <c r="W6" s="64"/>
    </row>
    <row r="7" spans="1:23" s="77" customFormat="1" ht="12.75">
      <c r="A7" s="66"/>
      <c r="B7" s="67"/>
      <c r="C7" s="67"/>
      <c r="D7" s="68">
        <f>SUM(D5:D6)</f>
        <v>168</v>
      </c>
      <c r="E7" s="69"/>
      <c r="F7" s="70"/>
      <c r="G7" s="71"/>
      <c r="H7" s="72"/>
      <c r="I7" s="72"/>
      <c r="J7" s="73">
        <f>SUM(J5:J6)</f>
        <v>0</v>
      </c>
      <c r="K7" s="73">
        <f>SUM(K5:K6)</f>
        <v>0</v>
      </c>
      <c r="L7" s="74"/>
      <c r="M7" s="75"/>
      <c r="N7" s="75"/>
      <c r="O7" s="76"/>
      <c r="P7" s="69"/>
      <c r="Q7" s="52">
        <f t="shared" si="0"/>
      </c>
      <c r="R7" s="52">
        <f t="shared" si="1"/>
      </c>
      <c r="S7" s="52">
        <f t="shared" si="2"/>
      </c>
      <c r="T7" s="53">
        <f t="shared" si="3"/>
        <v>0</v>
      </c>
      <c r="U7" s="30"/>
      <c r="V7" s="30"/>
      <c r="W7" s="30"/>
    </row>
    <row r="8" spans="1:23" s="55" customFormat="1" ht="15.75" customHeight="1">
      <c r="A8" s="43">
        <v>3</v>
      </c>
      <c r="B8" s="44">
        <v>44845.333333333336</v>
      </c>
      <c r="C8" s="44">
        <v>44851.333333333336</v>
      </c>
      <c r="D8" s="45">
        <f>(C8-B8)*24</f>
        <v>144</v>
      </c>
      <c r="E8" s="44" t="s">
        <v>24</v>
      </c>
      <c r="F8" s="46"/>
      <c r="G8" s="47"/>
      <c r="H8" s="44"/>
      <c r="I8" s="48"/>
      <c r="J8" s="45">
        <f>(I8-H8)*24</f>
        <v>0</v>
      </c>
      <c r="K8" s="45">
        <f>(I8-H8)*24</f>
        <v>0</v>
      </c>
      <c r="L8" s="49"/>
      <c r="M8" s="50"/>
      <c r="N8" s="50"/>
      <c r="O8" s="51" t="s">
        <v>25</v>
      </c>
      <c r="P8" s="44"/>
      <c r="Q8" s="52">
        <f t="shared" si="0"/>
      </c>
      <c r="R8" s="52">
        <f t="shared" si="1"/>
        <v>1</v>
      </c>
      <c r="S8" s="52">
        <f t="shared" si="2"/>
      </c>
      <c r="T8" s="53">
        <f t="shared" si="3"/>
        <v>1</v>
      </c>
      <c r="U8" s="54"/>
      <c r="V8" s="54"/>
      <c r="W8" s="54"/>
    </row>
    <row r="9" spans="1:23" s="77" customFormat="1" ht="12.75">
      <c r="A9" s="66"/>
      <c r="B9" s="67"/>
      <c r="C9" s="67"/>
      <c r="D9" s="68">
        <f>SUM(D8:D8)</f>
        <v>144</v>
      </c>
      <c r="E9" s="69"/>
      <c r="F9" s="70"/>
      <c r="G9" s="71"/>
      <c r="H9" s="72"/>
      <c r="I9" s="72"/>
      <c r="J9" s="73">
        <f>SUM(J8:J8)</f>
        <v>0</v>
      </c>
      <c r="K9" s="73">
        <f>SUM(K8:K8)</f>
        <v>0</v>
      </c>
      <c r="L9" s="74"/>
      <c r="M9" s="75"/>
      <c r="N9" s="75"/>
      <c r="O9" s="76"/>
      <c r="P9" s="69"/>
      <c r="Q9" s="52">
        <f t="shared" si="0"/>
      </c>
      <c r="R9" s="52">
        <f t="shared" si="1"/>
      </c>
      <c r="S9" s="52">
        <f t="shared" si="2"/>
      </c>
      <c r="T9" s="53">
        <f t="shared" si="3"/>
        <v>0</v>
      </c>
      <c r="U9" s="30"/>
      <c r="V9" s="30"/>
      <c r="W9" s="30"/>
    </row>
    <row r="10" spans="1:23" s="55" customFormat="1" ht="15.75" customHeight="1">
      <c r="A10" s="43">
        <v>4</v>
      </c>
      <c r="B10" s="44">
        <v>44852.333333333336</v>
      </c>
      <c r="C10" s="44">
        <v>44858.333333333336</v>
      </c>
      <c r="D10" s="45">
        <f>(C10-B10)*24</f>
        <v>144</v>
      </c>
      <c r="E10" s="44" t="s">
        <v>24</v>
      </c>
      <c r="F10" s="46"/>
      <c r="G10" s="47"/>
      <c r="H10" s="44"/>
      <c r="I10" s="48"/>
      <c r="J10" s="45">
        <f>(I10-H10)*24</f>
        <v>0</v>
      </c>
      <c r="K10" s="45">
        <f>(I10-H10)*24</f>
        <v>0</v>
      </c>
      <c r="L10" s="49"/>
      <c r="M10" s="50"/>
      <c r="N10" s="50"/>
      <c r="O10" s="51" t="s">
        <v>25</v>
      </c>
      <c r="P10" s="44"/>
      <c r="Q10" s="52">
        <f t="shared" si="0"/>
      </c>
      <c r="R10" s="52">
        <f t="shared" si="1"/>
        <v>1</v>
      </c>
      <c r="S10" s="52">
        <f t="shared" si="2"/>
      </c>
      <c r="T10" s="53">
        <f>SUM(Q10:S10)</f>
        <v>1</v>
      </c>
      <c r="U10" s="54"/>
      <c r="V10" s="54"/>
      <c r="W10" s="54"/>
    </row>
    <row r="11" spans="1:23" s="77" customFormat="1" ht="12.75">
      <c r="A11" s="66"/>
      <c r="B11" s="67"/>
      <c r="C11" s="67"/>
      <c r="D11" s="68">
        <f>SUM(D10:D10)</f>
        <v>144</v>
      </c>
      <c r="E11" s="69"/>
      <c r="F11" s="70"/>
      <c r="G11" s="71"/>
      <c r="H11" s="72"/>
      <c r="I11" s="72"/>
      <c r="J11" s="73">
        <f>SUM(J10:J10)</f>
        <v>0</v>
      </c>
      <c r="K11" s="73">
        <f>SUM(K10:K10)</f>
        <v>0</v>
      </c>
      <c r="L11" s="74"/>
      <c r="M11" s="75"/>
      <c r="N11" s="75"/>
      <c r="O11" s="76"/>
      <c r="P11" s="69"/>
      <c r="Q11" s="52">
        <f t="shared" si="0"/>
      </c>
      <c r="R11" s="52">
        <f t="shared" si="1"/>
      </c>
      <c r="S11" s="52">
        <f t="shared" si="2"/>
      </c>
      <c r="T11" s="53">
        <f>SUM(Q11:S11)</f>
        <v>0</v>
      </c>
      <c r="U11" s="30"/>
      <c r="V11" s="30"/>
      <c r="W11" s="30"/>
    </row>
    <row r="12" spans="1:23" s="55" customFormat="1" ht="15.75" customHeight="1">
      <c r="A12" s="43">
        <v>5</v>
      </c>
      <c r="B12" s="44">
        <v>44859.333333333336</v>
      </c>
      <c r="C12" s="44">
        <v>44861.75486111111</v>
      </c>
      <c r="D12" s="45">
        <f>(C12-B12)*24</f>
        <v>58.1166666666395</v>
      </c>
      <c r="E12" s="44" t="s">
        <v>82</v>
      </c>
      <c r="F12" s="46"/>
      <c r="G12" s="47"/>
      <c r="H12" s="44">
        <v>44861.75486111111</v>
      </c>
      <c r="I12" s="48">
        <v>44861.794444444444</v>
      </c>
      <c r="J12" s="45">
        <f>(I12-H12)*24</f>
        <v>0.9499999999534339</v>
      </c>
      <c r="K12" s="45">
        <f>(I12-H12)*24</f>
        <v>0.9499999999534339</v>
      </c>
      <c r="L12" s="49" t="s">
        <v>28</v>
      </c>
      <c r="M12" s="50" t="s">
        <v>28</v>
      </c>
      <c r="N12" s="50" t="s">
        <v>28</v>
      </c>
      <c r="O12" s="51" t="s">
        <v>29</v>
      </c>
      <c r="P12" s="44" t="s">
        <v>30</v>
      </c>
      <c r="Q12" s="52">
        <f t="shared" si="0"/>
      </c>
      <c r="R12" s="52">
        <f t="shared" si="1"/>
      </c>
      <c r="S12" s="52">
        <f t="shared" si="2"/>
        <v>1</v>
      </c>
      <c r="T12" s="53">
        <f t="shared" si="3"/>
        <v>1</v>
      </c>
      <c r="U12" s="54"/>
      <c r="V12" s="54"/>
      <c r="W12" s="54"/>
    </row>
    <row r="13" spans="1:23" s="65" customFormat="1" ht="12.75">
      <c r="A13" s="56">
        <v>6</v>
      </c>
      <c r="B13" s="57">
        <v>44861.794444444444</v>
      </c>
      <c r="C13" s="57">
        <v>44861.8625</v>
      </c>
      <c r="D13" s="58">
        <f>(C13-B13)*24</f>
        <v>1.6333333334187046</v>
      </c>
      <c r="E13" s="57" t="s">
        <v>83</v>
      </c>
      <c r="F13" s="59"/>
      <c r="G13" s="60"/>
      <c r="H13" s="57">
        <v>44861.8625</v>
      </c>
      <c r="I13" s="57">
        <v>44862.625</v>
      </c>
      <c r="J13" s="58">
        <f>(I13-H13)*24</f>
        <v>18.29999999993015</v>
      </c>
      <c r="K13" s="58">
        <f>(I13-H13)*24</f>
        <v>18.29999999993015</v>
      </c>
      <c r="L13" s="61" t="s">
        <v>23</v>
      </c>
      <c r="M13" s="62" t="s">
        <v>23</v>
      </c>
      <c r="N13" s="62" t="s">
        <v>23</v>
      </c>
      <c r="O13" s="63" t="s">
        <v>18</v>
      </c>
      <c r="P13" s="57"/>
      <c r="Q13" s="52">
        <f t="shared" si="0"/>
        <v>1</v>
      </c>
      <c r="R13" s="52">
        <f t="shared" si="1"/>
      </c>
      <c r="S13" s="52">
        <f t="shared" si="2"/>
      </c>
      <c r="T13" s="53">
        <f t="shared" si="3"/>
        <v>1</v>
      </c>
      <c r="U13" s="64"/>
      <c r="V13" s="64"/>
      <c r="W13" s="64"/>
    </row>
    <row r="14" spans="1:23" s="55" customFormat="1" ht="15.75" customHeight="1">
      <c r="A14" s="43">
        <v>8</v>
      </c>
      <c r="B14" s="44">
        <v>44862.625</v>
      </c>
      <c r="C14" s="44">
        <v>44865.333333333336</v>
      </c>
      <c r="D14" s="45">
        <f>(C14-B14)*24+1</f>
        <v>66.00000000005821</v>
      </c>
      <c r="E14" s="44" t="s">
        <v>24</v>
      </c>
      <c r="F14" s="46"/>
      <c r="G14" s="47"/>
      <c r="H14" s="44"/>
      <c r="I14" s="44"/>
      <c r="J14" s="45">
        <f>(I14-H14)*24</f>
        <v>0</v>
      </c>
      <c r="K14" s="45">
        <f>(I14-H14)*24</f>
        <v>0</v>
      </c>
      <c r="L14" s="49"/>
      <c r="M14" s="50"/>
      <c r="N14" s="50"/>
      <c r="O14" s="51" t="s">
        <v>25</v>
      </c>
      <c r="P14" s="44"/>
      <c r="Q14" s="52">
        <f t="shared" si="0"/>
      </c>
      <c r="R14" s="52">
        <f t="shared" si="1"/>
        <v>1</v>
      </c>
      <c r="S14" s="52">
        <f t="shared" si="2"/>
      </c>
      <c r="T14" s="53">
        <f t="shared" si="3"/>
        <v>1</v>
      </c>
      <c r="U14" s="54"/>
      <c r="V14" s="54"/>
      <c r="W14" s="54"/>
    </row>
    <row r="15" spans="1:23" s="77" customFormat="1" ht="12.75">
      <c r="A15" s="66"/>
      <c r="B15" s="67"/>
      <c r="C15" s="67"/>
      <c r="D15" s="68">
        <f>SUM(D12:D14)</f>
        <v>125.75000000011642</v>
      </c>
      <c r="E15" s="69"/>
      <c r="F15" s="70"/>
      <c r="G15" s="71"/>
      <c r="H15" s="72"/>
      <c r="I15" s="72"/>
      <c r="J15" s="73">
        <f>SUM(J12:J14)</f>
        <v>19.249999999883585</v>
      </c>
      <c r="K15" s="73">
        <f>SUM(K12:K14)</f>
        <v>19.249999999883585</v>
      </c>
      <c r="L15" s="74"/>
      <c r="M15" s="75"/>
      <c r="N15" s="75"/>
      <c r="O15" s="76"/>
      <c r="P15" s="69"/>
      <c r="Q15" s="52">
        <f t="shared" si="0"/>
      </c>
      <c r="R15" s="52">
        <f t="shared" si="1"/>
      </c>
      <c r="S15" s="52">
        <f t="shared" si="2"/>
      </c>
      <c r="T15" s="53">
        <f t="shared" si="3"/>
        <v>0</v>
      </c>
      <c r="U15" s="30"/>
      <c r="V15" s="30"/>
      <c r="W15" s="30"/>
    </row>
    <row r="16" spans="1:23" s="65" customFormat="1" ht="12.75">
      <c r="A16" s="56"/>
      <c r="B16" s="57"/>
      <c r="C16" s="57"/>
      <c r="D16" s="58">
        <f>(C16-B16)*24</f>
        <v>0</v>
      </c>
      <c r="E16" s="57"/>
      <c r="F16" s="59"/>
      <c r="G16" s="60"/>
      <c r="H16" s="57">
        <v>44866.333333333336</v>
      </c>
      <c r="I16" s="57">
        <v>44866.39861111111</v>
      </c>
      <c r="J16" s="58">
        <f>(I16-H16)*24</f>
        <v>1.5666666665347293</v>
      </c>
      <c r="K16" s="58">
        <f>(I16-H16)*24</f>
        <v>1.5666666665347293</v>
      </c>
      <c r="L16" s="61" t="s">
        <v>23</v>
      </c>
      <c r="M16" s="62" t="s">
        <v>23</v>
      </c>
      <c r="N16" s="62" t="s">
        <v>23</v>
      </c>
      <c r="O16" s="63" t="s">
        <v>18</v>
      </c>
      <c r="P16" s="57"/>
      <c r="Q16" s="52">
        <f t="shared" si="0"/>
        <v>1</v>
      </c>
      <c r="R16" s="52">
        <f t="shared" si="1"/>
      </c>
      <c r="S16" s="52">
        <f t="shared" si="2"/>
      </c>
      <c r="T16" s="53">
        <f>SUM(Q16:S16)</f>
        <v>1</v>
      </c>
      <c r="U16" s="64"/>
      <c r="V16" s="64"/>
      <c r="W16" s="64"/>
    </row>
    <row r="17" spans="1:23" s="55" customFormat="1" ht="15.75" customHeight="1">
      <c r="A17" s="43">
        <v>10</v>
      </c>
      <c r="B17" s="44">
        <v>44866.39861111111</v>
      </c>
      <c r="C17" s="44">
        <v>44869.69236111111</v>
      </c>
      <c r="D17" s="45">
        <f>(C17-B17)*24</f>
        <v>79.05000000010477</v>
      </c>
      <c r="E17" s="44"/>
      <c r="F17" s="46"/>
      <c r="G17" s="47"/>
      <c r="H17" s="44">
        <v>44869.69236111111</v>
      </c>
      <c r="I17" s="48">
        <v>44869.73055555556</v>
      </c>
      <c r="J17" s="45">
        <f>(I17-H17)*24</f>
        <v>0.9166666666860692</v>
      </c>
      <c r="K17" s="45">
        <f>(I17-H17)*24</f>
        <v>0.9166666666860692</v>
      </c>
      <c r="L17" s="49" t="s">
        <v>23</v>
      </c>
      <c r="M17" s="50" t="s">
        <v>23</v>
      </c>
      <c r="N17" s="50" t="s">
        <v>23</v>
      </c>
      <c r="O17" s="51" t="s">
        <v>18</v>
      </c>
      <c r="P17" s="44"/>
      <c r="Q17" s="52">
        <f t="shared" si="0"/>
        <v>1</v>
      </c>
      <c r="R17" s="52">
        <f t="shared" si="1"/>
      </c>
      <c r="S17" s="52">
        <f t="shared" si="2"/>
      </c>
      <c r="T17" s="53">
        <f>SUM(Q17:S17)</f>
        <v>1</v>
      </c>
      <c r="U17" s="54"/>
      <c r="V17" s="54"/>
      <c r="W17" s="54"/>
    </row>
    <row r="18" spans="1:23" s="65" customFormat="1" ht="12.75">
      <c r="A18" s="56">
        <v>11</v>
      </c>
      <c r="B18" s="57">
        <v>44869.73055555556</v>
      </c>
      <c r="C18" s="57">
        <v>44872.333333333336</v>
      </c>
      <c r="D18" s="58">
        <f>(C18-B18)*24</f>
        <v>62.46666666667443</v>
      </c>
      <c r="E18" s="57" t="s">
        <v>24</v>
      </c>
      <c r="F18" s="59"/>
      <c r="G18" s="60"/>
      <c r="H18" s="57"/>
      <c r="I18" s="57"/>
      <c r="J18" s="58">
        <f>(I18-H18)*24</f>
        <v>0</v>
      </c>
      <c r="K18" s="58">
        <f>(I18-H18)*24</f>
        <v>0</v>
      </c>
      <c r="L18" s="61"/>
      <c r="M18" s="62"/>
      <c r="N18" s="62"/>
      <c r="O18" s="63" t="s">
        <v>25</v>
      </c>
      <c r="P18" s="57"/>
      <c r="Q18" s="52">
        <f t="shared" si="0"/>
      </c>
      <c r="R18" s="52">
        <f t="shared" si="1"/>
        <v>1</v>
      </c>
      <c r="S18" s="52">
        <f t="shared" si="2"/>
      </c>
      <c r="T18" s="53">
        <f>SUM(Q18:S18)</f>
        <v>1</v>
      </c>
      <c r="U18" s="64"/>
      <c r="V18" s="64"/>
      <c r="W18" s="64"/>
    </row>
    <row r="19" spans="1:23" s="77" customFormat="1" ht="12.75">
      <c r="A19" s="66"/>
      <c r="B19" s="67"/>
      <c r="C19" s="67"/>
      <c r="D19" s="68">
        <f>SUM(D17:D18)</f>
        <v>141.5166666667792</v>
      </c>
      <c r="E19" s="69"/>
      <c r="F19" s="70"/>
      <c r="G19" s="71"/>
      <c r="H19" s="72"/>
      <c r="I19" s="72"/>
      <c r="J19" s="73">
        <f>SUM(J17:J18)</f>
        <v>0.9166666666860692</v>
      </c>
      <c r="K19" s="73">
        <f>SUM(K17:K18)</f>
        <v>0.9166666666860692</v>
      </c>
      <c r="L19" s="74"/>
      <c r="M19" s="75"/>
      <c r="N19" s="75"/>
      <c r="O19" s="76"/>
      <c r="P19" s="69"/>
      <c r="Q19" s="52">
        <f t="shared" si="0"/>
      </c>
      <c r="R19" s="52">
        <f t="shared" si="1"/>
      </c>
      <c r="S19" s="52">
        <f t="shared" si="2"/>
      </c>
      <c r="T19" s="53">
        <f>SUM(Q19:S19)</f>
        <v>0</v>
      </c>
      <c r="U19" s="30"/>
      <c r="V19" s="30"/>
      <c r="W19" s="30"/>
    </row>
    <row r="20" spans="1:23" s="55" customFormat="1" ht="15.75" customHeight="1">
      <c r="A20" s="43">
        <v>14</v>
      </c>
      <c r="B20" s="44">
        <v>44495.333333333336</v>
      </c>
      <c r="C20" s="44">
        <v>44501.333333333336</v>
      </c>
      <c r="D20" s="45">
        <f>(C20-B20)*24</f>
        <v>144</v>
      </c>
      <c r="E20" s="44" t="s">
        <v>24</v>
      </c>
      <c r="F20" s="46"/>
      <c r="G20" s="47"/>
      <c r="H20" s="44"/>
      <c r="I20" s="44"/>
      <c r="J20" s="45">
        <f>(I20-H20)*24</f>
        <v>0</v>
      </c>
      <c r="K20" s="45">
        <f>(I20-H20)*24</f>
        <v>0</v>
      </c>
      <c r="L20" s="49"/>
      <c r="M20" s="50"/>
      <c r="N20" s="50"/>
      <c r="O20" s="51" t="s">
        <v>25</v>
      </c>
      <c r="P20" s="44"/>
      <c r="Q20" s="52">
        <f t="shared" si="0"/>
      </c>
      <c r="R20" s="52">
        <f t="shared" si="1"/>
        <v>1</v>
      </c>
      <c r="S20" s="52">
        <f t="shared" si="2"/>
      </c>
      <c r="T20" s="53">
        <f t="shared" si="3"/>
        <v>1</v>
      </c>
      <c r="U20" s="54"/>
      <c r="V20" s="54"/>
      <c r="W20" s="54"/>
    </row>
    <row r="21" spans="1:23" s="77" customFormat="1" ht="12.75">
      <c r="A21" s="66"/>
      <c r="B21" s="67"/>
      <c r="C21" s="67"/>
      <c r="D21" s="68">
        <f>SUM(D20:D20)</f>
        <v>144</v>
      </c>
      <c r="E21" s="69"/>
      <c r="F21" s="70"/>
      <c r="G21" s="71"/>
      <c r="H21" s="72"/>
      <c r="I21" s="72"/>
      <c r="J21" s="73">
        <f>SUM(J20:J20)</f>
        <v>0</v>
      </c>
      <c r="K21" s="73">
        <f>SUM(K20:K20)</f>
        <v>0</v>
      </c>
      <c r="L21" s="74"/>
      <c r="M21" s="75"/>
      <c r="N21" s="75"/>
      <c r="O21" s="76"/>
      <c r="P21" s="69"/>
      <c r="Q21" s="52">
        <f t="shared" si="0"/>
      </c>
      <c r="R21" s="52">
        <f t="shared" si="1"/>
      </c>
      <c r="S21" s="52">
        <f t="shared" si="2"/>
      </c>
      <c r="T21" s="53">
        <f t="shared" si="3"/>
        <v>0</v>
      </c>
      <c r="U21" s="30"/>
      <c r="V21" s="30"/>
      <c r="W21" s="30"/>
    </row>
    <row r="22" spans="1:23" s="55" customFormat="1" ht="15.75" customHeight="1">
      <c r="A22" s="43">
        <v>15</v>
      </c>
      <c r="B22" s="44">
        <v>44502.333333333336</v>
      </c>
      <c r="C22" s="44">
        <v>44505.768055555556</v>
      </c>
      <c r="D22" s="45">
        <f>(C22-B22)*24</f>
        <v>82.43333333329065</v>
      </c>
      <c r="E22" s="44" t="s">
        <v>27</v>
      </c>
      <c r="F22" s="46"/>
      <c r="G22" s="47"/>
      <c r="H22" s="44">
        <v>44505.768055555556</v>
      </c>
      <c r="I22" s="48">
        <v>44505.788194444445</v>
      </c>
      <c r="J22" s="45">
        <f>(I22-H22)*24</f>
        <v>0.48333333333721384</v>
      </c>
      <c r="K22" s="45">
        <f>(I22-H22)*24</f>
        <v>0.48333333333721384</v>
      </c>
      <c r="L22" s="49" t="s">
        <v>23</v>
      </c>
      <c r="M22" s="50" t="s">
        <v>23</v>
      </c>
      <c r="N22" s="50" t="s">
        <v>23</v>
      </c>
      <c r="O22" s="51" t="s">
        <v>18</v>
      </c>
      <c r="P22" s="44"/>
      <c r="Q22" s="52">
        <f t="shared" si="0"/>
        <v>1</v>
      </c>
      <c r="R22" s="52">
        <f t="shared" si="1"/>
      </c>
      <c r="S22" s="52">
        <f t="shared" si="2"/>
      </c>
      <c r="T22" s="53">
        <f t="shared" si="3"/>
        <v>1</v>
      </c>
      <c r="U22" s="54"/>
      <c r="V22" s="54"/>
      <c r="W22" s="54"/>
    </row>
    <row r="23" spans="1:23" s="65" customFormat="1" ht="12.75">
      <c r="A23" s="56">
        <v>16</v>
      </c>
      <c r="B23" s="57">
        <v>44505.788194444445</v>
      </c>
      <c r="C23" s="57">
        <v>44508.333333333336</v>
      </c>
      <c r="D23" s="58">
        <f>(C23-B23)*24</f>
        <v>61.08333333337214</v>
      </c>
      <c r="E23" s="57" t="s">
        <v>24</v>
      </c>
      <c r="F23" s="59"/>
      <c r="G23" s="60"/>
      <c r="H23" s="57"/>
      <c r="I23" s="57"/>
      <c r="J23" s="58">
        <f>(I23-H23)*24</f>
        <v>0</v>
      </c>
      <c r="K23" s="58">
        <f>(I23-H23)*24</f>
        <v>0</v>
      </c>
      <c r="L23" s="61"/>
      <c r="M23" s="62"/>
      <c r="N23" s="62"/>
      <c r="O23" s="63" t="s">
        <v>25</v>
      </c>
      <c r="P23" s="57"/>
      <c r="Q23" s="52">
        <f t="shared" si="0"/>
      </c>
      <c r="R23" s="52">
        <f t="shared" si="1"/>
        <v>1</v>
      </c>
      <c r="S23" s="52">
        <f t="shared" si="2"/>
      </c>
      <c r="T23" s="53">
        <f t="shared" si="3"/>
        <v>1</v>
      </c>
      <c r="U23" s="64"/>
      <c r="V23" s="64"/>
      <c r="W23" s="64"/>
    </row>
    <row r="24" spans="1:23" s="77" customFormat="1" ht="12.75">
      <c r="A24" s="66"/>
      <c r="B24" s="67"/>
      <c r="C24" s="67"/>
      <c r="D24" s="68">
        <f>SUM(D22:D23)</f>
        <v>143.5166666666628</v>
      </c>
      <c r="E24" s="69"/>
      <c r="F24" s="70"/>
      <c r="G24" s="71"/>
      <c r="H24" s="72"/>
      <c r="I24" s="72"/>
      <c r="J24" s="73">
        <f>SUM(J22:J23)</f>
        <v>0.48333333333721384</v>
      </c>
      <c r="K24" s="73">
        <f>SUM(K22:K23)</f>
        <v>0.48333333333721384</v>
      </c>
      <c r="L24" s="74"/>
      <c r="M24" s="75"/>
      <c r="N24" s="75"/>
      <c r="O24" s="76"/>
      <c r="P24" s="69"/>
      <c r="Q24" s="52">
        <f t="shared" si="0"/>
      </c>
      <c r="R24" s="52">
        <f t="shared" si="1"/>
      </c>
      <c r="S24" s="52">
        <f t="shared" si="2"/>
      </c>
      <c r="T24" s="53">
        <f t="shared" si="3"/>
        <v>0</v>
      </c>
      <c r="U24" s="30"/>
      <c r="V24" s="30"/>
      <c r="W24" s="30"/>
    </row>
    <row r="25" spans="1:23" s="65" customFormat="1" ht="12.75">
      <c r="A25" s="56">
        <v>17</v>
      </c>
      <c r="B25" s="57">
        <v>44509.333333333336</v>
      </c>
      <c r="C25" s="57">
        <v>44513.25208333333</v>
      </c>
      <c r="D25" s="58">
        <f>(C25-B25)*24</f>
        <v>94.04999999993015</v>
      </c>
      <c r="E25" s="57" t="s">
        <v>31</v>
      </c>
      <c r="F25" s="59"/>
      <c r="G25" s="60"/>
      <c r="H25" s="57">
        <v>44513.25208333333</v>
      </c>
      <c r="I25" s="78">
        <v>44513.29027777778</v>
      </c>
      <c r="J25" s="58">
        <f>(I25-H25)*24</f>
        <v>0.9166666666860692</v>
      </c>
      <c r="K25" s="58">
        <f>(I25-H25)*24</f>
        <v>0.9166666666860692</v>
      </c>
      <c r="L25" s="61" t="s">
        <v>23</v>
      </c>
      <c r="M25" s="62" t="s">
        <v>23</v>
      </c>
      <c r="N25" s="62" t="s">
        <v>23</v>
      </c>
      <c r="O25" s="63" t="s">
        <v>18</v>
      </c>
      <c r="P25" s="57"/>
      <c r="Q25" s="52">
        <f t="shared" si="0"/>
        <v>1</v>
      </c>
      <c r="R25" s="52">
        <f t="shared" si="1"/>
      </c>
      <c r="S25" s="52">
        <f t="shared" si="2"/>
      </c>
      <c r="T25" s="53">
        <f t="shared" si="3"/>
        <v>1</v>
      </c>
      <c r="U25" s="64"/>
      <c r="V25" s="64"/>
      <c r="W25" s="64"/>
    </row>
    <row r="26" spans="1:23" s="55" customFormat="1" ht="15.75" customHeight="1">
      <c r="A26" s="43">
        <v>18</v>
      </c>
      <c r="B26" s="44">
        <v>44513.29027777778</v>
      </c>
      <c r="C26" s="44">
        <v>44515.333333333336</v>
      </c>
      <c r="D26" s="45">
        <f>(C26-B26)*24</f>
        <v>49.03333333338378</v>
      </c>
      <c r="E26" s="44" t="s">
        <v>24</v>
      </c>
      <c r="F26" s="46"/>
      <c r="G26" s="47"/>
      <c r="H26" s="44"/>
      <c r="I26" s="44"/>
      <c r="J26" s="45">
        <f>(I26-H26)*24</f>
        <v>0</v>
      </c>
      <c r="K26" s="45">
        <f>(I26-H26)*24</f>
        <v>0</v>
      </c>
      <c r="L26" s="49"/>
      <c r="M26" s="50"/>
      <c r="N26" s="50"/>
      <c r="O26" s="51" t="s">
        <v>25</v>
      </c>
      <c r="P26" s="44"/>
      <c r="Q26" s="52">
        <f t="shared" si="0"/>
      </c>
      <c r="R26" s="52">
        <f t="shared" si="1"/>
        <v>1</v>
      </c>
      <c r="S26" s="52">
        <f t="shared" si="2"/>
      </c>
      <c r="T26" s="53">
        <f t="shared" si="3"/>
        <v>1</v>
      </c>
      <c r="U26" s="54"/>
      <c r="V26" s="54"/>
      <c r="W26" s="54"/>
    </row>
    <row r="27" spans="1:23" s="77" customFormat="1" ht="12.75">
      <c r="A27" s="66"/>
      <c r="B27" s="67"/>
      <c r="C27" s="67"/>
      <c r="D27" s="68">
        <f>SUM(D25:D26)</f>
        <v>143.08333333331393</v>
      </c>
      <c r="E27" s="69"/>
      <c r="F27" s="70"/>
      <c r="G27" s="71"/>
      <c r="H27" s="72"/>
      <c r="I27" s="72"/>
      <c r="J27" s="73">
        <f>SUM(J25:J26)</f>
        <v>0.9166666666860692</v>
      </c>
      <c r="K27" s="73">
        <f>SUM(K25:K26)</f>
        <v>0.9166666666860692</v>
      </c>
      <c r="L27" s="74"/>
      <c r="M27" s="75"/>
      <c r="N27" s="75"/>
      <c r="O27" s="76"/>
      <c r="P27" s="69"/>
      <c r="Q27" s="52">
        <f t="shared" si="0"/>
      </c>
      <c r="R27" s="52">
        <f t="shared" si="1"/>
      </c>
      <c r="S27" s="52">
        <f t="shared" si="2"/>
      </c>
      <c r="T27" s="53">
        <f t="shared" si="3"/>
        <v>0</v>
      </c>
      <c r="U27" s="30"/>
      <c r="V27" s="30"/>
      <c r="W27" s="30"/>
    </row>
    <row r="28" spans="1:23" s="65" customFormat="1" ht="12.75">
      <c r="A28" s="56">
        <v>19</v>
      </c>
      <c r="B28" s="57">
        <v>44517.333333333336</v>
      </c>
      <c r="C28" s="57">
        <v>44520.86597222222</v>
      </c>
      <c r="D28" s="58">
        <f>(C28-B28)*24</f>
        <v>84.78333333326736</v>
      </c>
      <c r="E28" s="57" t="s">
        <v>32</v>
      </c>
      <c r="F28" s="59"/>
      <c r="G28" s="60"/>
      <c r="H28" s="57">
        <v>44520.86597222222</v>
      </c>
      <c r="I28" s="78">
        <v>44520.915972222225</v>
      </c>
      <c r="J28" s="58">
        <f>(I28-H28)*24</f>
        <v>1.2000000000698492</v>
      </c>
      <c r="K28" s="58">
        <f>(I28-H28)*24</f>
        <v>1.2000000000698492</v>
      </c>
      <c r="L28" s="61" t="s">
        <v>33</v>
      </c>
      <c r="M28" s="62" t="s">
        <v>33</v>
      </c>
      <c r="N28" s="62" t="s">
        <v>33</v>
      </c>
      <c r="O28" s="63" t="s">
        <v>18</v>
      </c>
      <c r="P28" s="57"/>
      <c r="Q28" s="52">
        <f t="shared" si="0"/>
        <v>1</v>
      </c>
      <c r="R28" s="52">
        <f t="shared" si="1"/>
      </c>
      <c r="S28" s="52">
        <f t="shared" si="2"/>
      </c>
      <c r="T28" s="53">
        <f t="shared" si="3"/>
        <v>1</v>
      </c>
      <c r="U28" s="64"/>
      <c r="V28" s="64"/>
      <c r="W28" s="64"/>
    </row>
    <row r="29" spans="1:23" s="55" customFormat="1" ht="15.75" customHeight="1">
      <c r="A29" s="43">
        <v>20</v>
      </c>
      <c r="B29" s="44">
        <v>44520.915972222225</v>
      </c>
      <c r="C29" s="44">
        <v>44525</v>
      </c>
      <c r="D29" s="45">
        <f>(C29-B29)*24</f>
        <v>98.01666666660458</v>
      </c>
      <c r="E29" s="44" t="s">
        <v>24</v>
      </c>
      <c r="F29" s="46"/>
      <c r="G29" s="47"/>
      <c r="H29" s="44"/>
      <c r="I29" s="44"/>
      <c r="J29" s="45">
        <f>(I29-H29)*24</f>
        <v>0</v>
      </c>
      <c r="K29" s="45">
        <f>(I29-H29)*24</f>
        <v>0</v>
      </c>
      <c r="L29" s="49"/>
      <c r="M29" s="50"/>
      <c r="N29" s="50"/>
      <c r="O29" s="51" t="s">
        <v>25</v>
      </c>
      <c r="P29" s="44"/>
      <c r="Q29" s="52">
        <f t="shared" si="0"/>
      </c>
      <c r="R29" s="52">
        <f t="shared" si="1"/>
        <v>1</v>
      </c>
      <c r="S29" s="52">
        <f t="shared" si="2"/>
      </c>
      <c r="T29" s="53">
        <f t="shared" si="3"/>
        <v>1</v>
      </c>
      <c r="U29" s="54"/>
      <c r="V29" s="54"/>
      <c r="W29" s="54"/>
    </row>
    <row r="30" spans="1:23" s="77" customFormat="1" ht="12.75">
      <c r="A30" s="66"/>
      <c r="B30" s="67"/>
      <c r="C30" s="67"/>
      <c r="D30" s="68">
        <f>SUM(D28:D29)</f>
        <v>182.79999999987194</v>
      </c>
      <c r="E30" s="69"/>
      <c r="F30" s="70"/>
      <c r="G30" s="71"/>
      <c r="H30" s="72"/>
      <c r="I30" s="72"/>
      <c r="J30" s="73">
        <f>SUM(J28:J29)</f>
        <v>1.2000000000698492</v>
      </c>
      <c r="K30" s="73">
        <f>SUM(K28:K29)</f>
        <v>1.2000000000698492</v>
      </c>
      <c r="L30" s="74"/>
      <c r="M30" s="75"/>
      <c r="N30" s="75"/>
      <c r="O30" s="76"/>
      <c r="P30" s="69"/>
      <c r="Q30" s="52">
        <f t="shared" si="0"/>
      </c>
      <c r="R30" s="52">
        <f t="shared" si="1"/>
      </c>
      <c r="S30" s="52">
        <f t="shared" si="2"/>
      </c>
      <c r="T30" s="53">
        <f t="shared" si="3"/>
        <v>0</v>
      </c>
      <c r="U30" s="30"/>
      <c r="V30" s="30"/>
      <c r="W30" s="30"/>
    </row>
    <row r="31" spans="1:23" s="55" customFormat="1" ht="15.75" customHeight="1">
      <c r="A31" s="43">
        <v>21</v>
      </c>
      <c r="B31" s="44">
        <v>44526.333333333336</v>
      </c>
      <c r="C31" s="44">
        <v>44526.53402777778</v>
      </c>
      <c r="D31" s="45">
        <f>(C31-B31)*24</f>
        <v>4.816666666651145</v>
      </c>
      <c r="E31" s="44" t="s">
        <v>34</v>
      </c>
      <c r="F31" s="46"/>
      <c r="G31" s="47"/>
      <c r="H31" s="44">
        <v>44526.53402777778</v>
      </c>
      <c r="I31" s="48">
        <v>44526.57430555556</v>
      </c>
      <c r="J31" s="45">
        <f>(I31-H31)*24</f>
        <v>0.9666666666744277</v>
      </c>
      <c r="K31" s="45">
        <f>(I31-H31)*24</f>
        <v>0.9666666666744277</v>
      </c>
      <c r="L31" s="49" t="s">
        <v>28</v>
      </c>
      <c r="M31" s="50" t="s">
        <v>28</v>
      </c>
      <c r="N31" s="50" t="s">
        <v>28</v>
      </c>
      <c r="O31" s="51" t="s">
        <v>18</v>
      </c>
      <c r="P31" s="44"/>
      <c r="Q31" s="52">
        <f t="shared" si="0"/>
        <v>1</v>
      </c>
      <c r="R31" s="52">
        <f t="shared" si="1"/>
      </c>
      <c r="S31" s="52">
        <f t="shared" si="2"/>
      </c>
      <c r="T31" s="53">
        <f t="shared" si="3"/>
        <v>1</v>
      </c>
      <c r="U31" s="54"/>
      <c r="V31" s="54"/>
      <c r="W31" s="54"/>
    </row>
    <row r="32" spans="1:23" s="65" customFormat="1" ht="12.75">
      <c r="A32" s="56">
        <v>22</v>
      </c>
      <c r="B32" s="57">
        <v>44526.57430555556</v>
      </c>
      <c r="C32" s="57">
        <v>44531.614583333336</v>
      </c>
      <c r="D32" s="58">
        <f>(C32-B32)*24</f>
        <v>120.96666666667443</v>
      </c>
      <c r="E32" s="57" t="s">
        <v>35</v>
      </c>
      <c r="F32" s="59"/>
      <c r="G32" s="60"/>
      <c r="H32" s="57">
        <v>44531.614583333336</v>
      </c>
      <c r="I32" s="57">
        <v>44531.654861111114</v>
      </c>
      <c r="J32" s="58">
        <f>(I32-H32)*24</f>
        <v>0.9666666666744277</v>
      </c>
      <c r="K32" s="58">
        <f>(I32-H32)*24</f>
        <v>0.9666666666744277</v>
      </c>
      <c r="L32" s="61" t="s">
        <v>33</v>
      </c>
      <c r="M32" s="62" t="s">
        <v>33</v>
      </c>
      <c r="N32" s="62" t="s">
        <v>33</v>
      </c>
      <c r="O32" s="63" t="s">
        <v>18</v>
      </c>
      <c r="P32" s="57"/>
      <c r="Q32" s="52">
        <f t="shared" si="0"/>
        <v>1</v>
      </c>
      <c r="R32" s="52">
        <f t="shared" si="1"/>
      </c>
      <c r="S32" s="52">
        <f t="shared" si="2"/>
      </c>
      <c r="T32" s="53">
        <f t="shared" si="3"/>
        <v>1</v>
      </c>
      <c r="U32" s="64"/>
      <c r="V32" s="64"/>
      <c r="W32" s="64"/>
    </row>
    <row r="33" spans="1:23" s="55" customFormat="1" ht="15.75" customHeight="1">
      <c r="A33" s="43">
        <v>23</v>
      </c>
      <c r="B33" s="44">
        <v>44531.654861111114</v>
      </c>
      <c r="C33" s="44">
        <v>44535.12152777778</v>
      </c>
      <c r="D33" s="45">
        <f>(C33-B33)*24</f>
        <v>83.20000000001164</v>
      </c>
      <c r="E33" s="44" t="s">
        <v>27</v>
      </c>
      <c r="F33" s="46"/>
      <c r="G33" s="47"/>
      <c r="H33" s="44">
        <v>44535.12152777778</v>
      </c>
      <c r="I33" s="48">
        <v>44535.14861111111</v>
      </c>
      <c r="J33" s="45">
        <f>(I33-H33)*24</f>
        <v>0.6499999998486601</v>
      </c>
      <c r="K33" s="45">
        <f>(I33-H33)*24</f>
        <v>0.6499999998486601</v>
      </c>
      <c r="L33" s="49" t="s">
        <v>23</v>
      </c>
      <c r="M33" s="50" t="s">
        <v>23</v>
      </c>
      <c r="N33" s="50" t="s">
        <v>23</v>
      </c>
      <c r="O33" s="51" t="s">
        <v>18</v>
      </c>
      <c r="P33" s="44"/>
      <c r="Q33" s="52">
        <f t="shared" si="0"/>
        <v>1</v>
      </c>
      <c r="R33" s="52">
        <f t="shared" si="1"/>
      </c>
      <c r="S33" s="52">
        <f t="shared" si="2"/>
      </c>
      <c r="T33" s="53">
        <f t="shared" si="3"/>
        <v>1</v>
      </c>
      <c r="U33" s="54"/>
      <c r="V33" s="54"/>
      <c r="W33" s="54"/>
    </row>
    <row r="34" spans="1:23" s="65" customFormat="1" ht="12.75">
      <c r="A34" s="56">
        <v>24</v>
      </c>
      <c r="B34" s="57">
        <v>44535.14861111111</v>
      </c>
      <c r="C34" s="57">
        <v>44536.333333333336</v>
      </c>
      <c r="D34" s="58">
        <f>(C34-B34)*24</f>
        <v>28.43333333346527</v>
      </c>
      <c r="E34" s="57" t="s">
        <v>24</v>
      </c>
      <c r="F34" s="59"/>
      <c r="G34" s="60"/>
      <c r="H34" s="57"/>
      <c r="I34" s="57"/>
      <c r="J34" s="58">
        <f>(I34-H34)*24</f>
        <v>0</v>
      </c>
      <c r="K34" s="58">
        <f>(I34-H34)*24</f>
        <v>0</v>
      </c>
      <c r="L34" s="61"/>
      <c r="M34" s="62"/>
      <c r="N34" s="62"/>
      <c r="O34" s="63" t="s">
        <v>25</v>
      </c>
      <c r="P34" s="57"/>
      <c r="Q34" s="52">
        <f t="shared" si="0"/>
      </c>
      <c r="R34" s="52">
        <f t="shared" si="1"/>
        <v>1</v>
      </c>
      <c r="S34" s="52">
        <f t="shared" si="2"/>
      </c>
      <c r="T34" s="53">
        <f t="shared" si="3"/>
        <v>1</v>
      </c>
      <c r="U34" s="64"/>
      <c r="V34" s="64"/>
      <c r="W34" s="64"/>
    </row>
    <row r="35" spans="1:23" s="77" customFormat="1" ht="12.75">
      <c r="A35" s="66"/>
      <c r="B35" s="67"/>
      <c r="C35" s="67"/>
      <c r="D35" s="68">
        <f>SUM(D31:D34)</f>
        <v>237.41666666680248</v>
      </c>
      <c r="E35" s="69"/>
      <c r="F35" s="70"/>
      <c r="G35" s="71"/>
      <c r="H35" s="72"/>
      <c r="I35" s="72"/>
      <c r="J35" s="73">
        <f>SUM(J31:J34)</f>
        <v>2.5833333331975155</v>
      </c>
      <c r="K35" s="73">
        <f>SUM(K31:K34)</f>
        <v>2.5833333331975155</v>
      </c>
      <c r="L35" s="74"/>
      <c r="M35" s="75"/>
      <c r="N35" s="75"/>
      <c r="O35" s="76"/>
      <c r="P35" s="69"/>
      <c r="Q35" s="52">
        <f t="shared" si="0"/>
      </c>
      <c r="R35" s="52">
        <f t="shared" si="1"/>
      </c>
      <c r="S35" s="52">
        <f t="shared" si="2"/>
      </c>
      <c r="T35" s="53">
        <f t="shared" si="3"/>
        <v>0</v>
      </c>
      <c r="U35" s="30"/>
      <c r="V35" s="30"/>
      <c r="W35" s="30"/>
    </row>
    <row r="36" spans="1:23" s="55" customFormat="1" ht="15.75" customHeight="1">
      <c r="A36" s="43">
        <v>25</v>
      </c>
      <c r="B36" s="44">
        <v>44538.333333333336</v>
      </c>
      <c r="C36" s="44">
        <v>44543.333333333336</v>
      </c>
      <c r="D36" s="45">
        <f>(C36-B36)*24</f>
        <v>120</v>
      </c>
      <c r="E36" s="44" t="s">
        <v>24</v>
      </c>
      <c r="F36" s="46"/>
      <c r="G36" s="47"/>
      <c r="H36" s="44"/>
      <c r="I36" s="44"/>
      <c r="J36" s="45">
        <f>(I36-H36)*24</f>
        <v>0</v>
      </c>
      <c r="K36" s="45">
        <f>(I36-H36)*24</f>
        <v>0</v>
      </c>
      <c r="L36" s="49"/>
      <c r="M36" s="50"/>
      <c r="N36" s="50"/>
      <c r="O36" s="51" t="s">
        <v>25</v>
      </c>
      <c r="P36" s="44"/>
      <c r="Q36" s="52">
        <f t="shared" si="0"/>
      </c>
      <c r="R36" s="52">
        <f t="shared" si="1"/>
        <v>1</v>
      </c>
      <c r="S36" s="52">
        <f t="shared" si="2"/>
      </c>
      <c r="T36" s="53">
        <f t="shared" si="3"/>
        <v>1</v>
      </c>
      <c r="U36" s="54"/>
      <c r="V36" s="54"/>
      <c r="W36" s="54"/>
    </row>
    <row r="37" spans="1:23" s="77" customFormat="1" ht="12.75">
      <c r="A37" s="66"/>
      <c r="B37" s="67"/>
      <c r="C37" s="67"/>
      <c r="D37" s="68">
        <f>SUM(D36:D36)</f>
        <v>120</v>
      </c>
      <c r="E37" s="69"/>
      <c r="F37" s="70"/>
      <c r="G37" s="71"/>
      <c r="H37" s="72"/>
      <c r="I37" s="72"/>
      <c r="J37" s="73">
        <f>SUM(J36:J36)</f>
        <v>0</v>
      </c>
      <c r="K37" s="73">
        <f>SUM(K36:K36)</f>
        <v>0</v>
      </c>
      <c r="L37" s="74"/>
      <c r="M37" s="75"/>
      <c r="N37" s="75"/>
      <c r="O37" s="76"/>
      <c r="P37" s="69"/>
      <c r="Q37" s="52">
        <f t="shared" si="0"/>
      </c>
      <c r="R37" s="52">
        <f t="shared" si="1"/>
      </c>
      <c r="S37" s="52">
        <f t="shared" si="2"/>
      </c>
      <c r="T37" s="53">
        <f t="shared" si="3"/>
        <v>0</v>
      </c>
      <c r="U37" s="30"/>
      <c r="V37" s="30"/>
      <c r="W37" s="30"/>
    </row>
    <row r="38" spans="1:23" s="55" customFormat="1" ht="15.75" customHeight="1">
      <c r="A38" s="43">
        <v>26</v>
      </c>
      <c r="B38" s="44">
        <v>44544.333333333336</v>
      </c>
      <c r="C38" s="44">
        <v>44551.333333333336</v>
      </c>
      <c r="D38" s="45">
        <f>(C38-B38)*24</f>
        <v>168</v>
      </c>
      <c r="E38" s="44" t="s">
        <v>24</v>
      </c>
      <c r="F38" s="46"/>
      <c r="G38" s="47"/>
      <c r="H38" s="44"/>
      <c r="I38" s="44"/>
      <c r="J38" s="45">
        <f>(I38-H38)*24</f>
        <v>0</v>
      </c>
      <c r="K38" s="45">
        <f>(I38-H38)*24</f>
        <v>0</v>
      </c>
      <c r="L38" s="49"/>
      <c r="M38" s="50"/>
      <c r="N38" s="50"/>
      <c r="O38" s="51" t="s">
        <v>25</v>
      </c>
      <c r="P38" s="44"/>
      <c r="Q38" s="52">
        <f t="shared" si="0"/>
      </c>
      <c r="R38" s="52">
        <f t="shared" si="1"/>
        <v>1</v>
      </c>
      <c r="S38" s="52">
        <f t="shared" si="2"/>
      </c>
      <c r="T38" s="53">
        <f t="shared" si="3"/>
        <v>1</v>
      </c>
      <c r="U38" s="54"/>
      <c r="V38" s="54"/>
      <c r="W38" s="54"/>
    </row>
    <row r="39" spans="1:23" s="77" customFormat="1" ht="12.75">
      <c r="A39" s="66"/>
      <c r="B39" s="67"/>
      <c r="C39" s="67"/>
      <c r="D39" s="68">
        <f>SUM(D38:D38)</f>
        <v>168</v>
      </c>
      <c r="E39" s="69"/>
      <c r="F39" s="70"/>
      <c r="G39" s="71"/>
      <c r="H39" s="72"/>
      <c r="I39" s="72"/>
      <c r="J39" s="73">
        <f>SUM(J38:J38)</f>
        <v>0</v>
      </c>
      <c r="K39" s="73">
        <f>SUM(K38:K38)</f>
        <v>0</v>
      </c>
      <c r="L39" s="74"/>
      <c r="M39" s="75"/>
      <c r="N39" s="75"/>
      <c r="O39" s="76"/>
      <c r="P39" s="69"/>
      <c r="Q39" s="52">
        <f t="shared" si="0"/>
      </c>
      <c r="R39" s="52">
        <f t="shared" si="1"/>
      </c>
      <c r="S39" s="52">
        <f t="shared" si="2"/>
      </c>
      <c r="T39" s="53">
        <f t="shared" si="3"/>
        <v>0</v>
      </c>
      <c r="U39" s="30"/>
      <c r="V39" s="30"/>
      <c r="W39" s="30"/>
    </row>
    <row r="40" spans="1:20" ht="12.75">
      <c r="A40" s="79"/>
      <c r="B40" s="80"/>
      <c r="C40" s="80"/>
      <c r="D40" s="81"/>
      <c r="E40" s="82"/>
      <c r="F40" s="83"/>
      <c r="G40" s="84"/>
      <c r="H40" s="80"/>
      <c r="I40" s="80"/>
      <c r="J40" s="85"/>
      <c r="K40" s="85"/>
      <c r="L40" s="86"/>
      <c r="M40" s="87"/>
      <c r="N40" s="87"/>
      <c r="O40" s="88"/>
      <c r="P40" s="82"/>
      <c r="Q40" s="30"/>
      <c r="R40" s="30"/>
      <c r="S40" s="30"/>
      <c r="T40" s="30"/>
    </row>
    <row r="41" spans="1:20" ht="12.75">
      <c r="A41" s="79"/>
      <c r="B41" s="80"/>
      <c r="C41" s="80"/>
      <c r="D41" s="81"/>
      <c r="E41" s="82" t="s">
        <v>36</v>
      </c>
      <c r="F41" s="83"/>
      <c r="G41" s="84"/>
      <c r="H41" s="80"/>
      <c r="I41" s="80"/>
      <c r="J41" s="85"/>
      <c r="K41" s="85"/>
      <c r="L41" s="86"/>
      <c r="M41" s="87"/>
      <c r="N41" s="87"/>
      <c r="O41" s="88"/>
      <c r="P41" s="82"/>
      <c r="Q41" s="30"/>
      <c r="R41" s="30"/>
      <c r="S41" s="30"/>
      <c r="T41" s="30"/>
    </row>
    <row r="42" spans="1:18" ht="12.75">
      <c r="A42" s="28"/>
      <c r="B42" s="14"/>
      <c r="C42" s="89" t="s">
        <v>37</v>
      </c>
      <c r="D42" s="90">
        <f>Q44</f>
        <v>10</v>
      </c>
      <c r="E42" s="16"/>
      <c r="F42" s="29"/>
      <c r="G42" s="18"/>
      <c r="H42" s="19"/>
      <c r="I42" s="19"/>
      <c r="J42" s="91" t="s">
        <v>38</v>
      </c>
      <c r="K42" s="92"/>
      <c r="L42" s="21"/>
      <c r="M42" s="22"/>
      <c r="N42" s="22"/>
      <c r="O42" s="93"/>
      <c r="P42" s="23"/>
      <c r="R42" s="12">
        <f>IF($L42="Scheduled",1,"")</f>
      </c>
    </row>
    <row r="43" spans="1:18" ht="12.75">
      <c r="A43" s="28"/>
      <c r="B43" s="14"/>
      <c r="C43" s="89" t="s">
        <v>39</v>
      </c>
      <c r="D43" s="90">
        <f>D44-D42</f>
        <v>11</v>
      </c>
      <c r="E43" s="16"/>
      <c r="F43" s="29"/>
      <c r="G43" s="18"/>
      <c r="H43" s="19"/>
      <c r="I43" s="19"/>
      <c r="J43" s="15" t="s">
        <v>40</v>
      </c>
      <c r="K43" s="94" t="s">
        <v>14</v>
      </c>
      <c r="L43" s="21"/>
      <c r="M43" s="22"/>
      <c r="N43" s="22"/>
      <c r="O43" s="93"/>
      <c r="P43" s="23"/>
      <c r="R43" s="12">
        <f>IF($L43="Scheduled",1,"")</f>
      </c>
    </row>
    <row r="44" spans="1:29" ht="12.75">
      <c r="A44" s="28"/>
      <c r="B44" s="14"/>
      <c r="C44" s="89" t="s">
        <v>41</v>
      </c>
      <c r="D44" s="95">
        <f>COUNT(A6:A40)</f>
        <v>21</v>
      </c>
      <c r="E44" s="16"/>
      <c r="F44" s="29"/>
      <c r="G44" s="18"/>
      <c r="H44" s="19"/>
      <c r="I44" s="19"/>
      <c r="J44" s="96">
        <f>SUM(J5:J40)/2</f>
        <v>26.133333333127666</v>
      </c>
      <c r="K44" s="96">
        <f>SUM(K5:K40)/2</f>
        <v>26.133333333127666</v>
      </c>
      <c r="L44" s="21"/>
      <c r="M44" s="22"/>
      <c r="N44" s="22"/>
      <c r="O44" s="93"/>
      <c r="P44" s="23"/>
      <c r="Q44" s="95">
        <f>SUM(Q1:Q40)</f>
        <v>10</v>
      </c>
      <c r="R44" s="95">
        <f>SUM(R1:R40)</f>
        <v>12</v>
      </c>
      <c r="S44" s="95">
        <f>SUM(S1:S40)</f>
        <v>1</v>
      </c>
      <c r="T44" s="95">
        <f>SUM(T1:T40)</f>
        <v>23</v>
      </c>
      <c r="AA44" s="30"/>
      <c r="AB44" s="30"/>
      <c r="AC44" s="30"/>
    </row>
    <row r="45" spans="1:19" ht="12.75">
      <c r="A45" s="28"/>
      <c r="B45" s="14"/>
      <c r="C45" s="89"/>
      <c r="D45" s="15"/>
      <c r="E45" s="16"/>
      <c r="F45" s="29"/>
      <c r="G45" s="18"/>
      <c r="H45" s="19"/>
      <c r="I45" s="19"/>
      <c r="J45" s="15"/>
      <c r="K45" s="20"/>
      <c r="L45" s="21"/>
      <c r="M45" s="22"/>
      <c r="N45" s="22"/>
      <c r="O45" s="21"/>
      <c r="P45" s="23"/>
      <c r="Q45" s="12" t="s">
        <v>42</v>
      </c>
      <c r="R45" s="97" t="s">
        <v>25</v>
      </c>
      <c r="S45" s="12" t="s">
        <v>43</v>
      </c>
    </row>
    <row r="46" spans="1:26" ht="12.75">
      <c r="A46" s="28"/>
      <c r="B46" s="14"/>
      <c r="C46" s="89" t="s">
        <v>44</v>
      </c>
      <c r="D46" s="15">
        <f>SUM(D4:D40)/2</f>
        <v>1862.0833333335468</v>
      </c>
      <c r="E46" s="98">
        <f>D46/24</f>
        <v>77.58680555556445</v>
      </c>
      <c r="F46" s="99" t="s">
        <v>45</v>
      </c>
      <c r="G46" s="18"/>
      <c r="H46" s="19"/>
      <c r="I46" s="19"/>
      <c r="J46" s="15"/>
      <c r="K46" s="20"/>
      <c r="L46" s="21"/>
      <c r="M46" s="22"/>
      <c r="N46" s="22"/>
      <c r="O46" s="21"/>
      <c r="P46" s="23"/>
      <c r="Q46" s="12">
        <f>IF($O48="Store Lost",1,"")</f>
      </c>
      <c r="T46" s="100"/>
      <c r="U46" s="30"/>
      <c r="V46" s="30"/>
      <c r="W46" s="30"/>
      <c r="X46" s="30"/>
      <c r="Y46" s="30"/>
      <c r="Z46" s="30"/>
    </row>
    <row r="47" spans="1:17" ht="12.75">
      <c r="A47" s="28"/>
      <c r="B47" s="14"/>
      <c r="C47" s="89" t="s">
        <v>46</v>
      </c>
      <c r="D47" s="15">
        <f>J44</f>
        <v>26.133333333127666</v>
      </c>
      <c r="E47" s="16" t="s">
        <v>47</v>
      </c>
      <c r="F47" s="29"/>
      <c r="G47" s="18"/>
      <c r="H47" s="19"/>
      <c r="I47" s="19"/>
      <c r="J47" s="15"/>
      <c r="K47" s="20"/>
      <c r="L47" s="21"/>
      <c r="M47" s="22"/>
      <c r="N47" s="22"/>
      <c r="O47" s="21"/>
      <c r="P47" s="23"/>
      <c r="Q47" s="12">
        <f>IF($O49="Store Lost",1,"")</f>
      </c>
    </row>
    <row r="48" spans="1:17" ht="12.75">
      <c r="A48" s="28"/>
      <c r="B48" s="14"/>
      <c r="C48" s="89" t="s">
        <v>48</v>
      </c>
      <c r="D48" s="95">
        <f>SUM(D46:D47)</f>
        <v>1888.2166666666744</v>
      </c>
      <c r="E48" s="98"/>
      <c r="F48" s="29"/>
      <c r="G48" s="18"/>
      <c r="H48" s="19"/>
      <c r="I48" s="19"/>
      <c r="J48" s="15"/>
      <c r="K48" s="20"/>
      <c r="L48" s="21"/>
      <c r="M48" s="22"/>
      <c r="N48" s="22"/>
      <c r="O48" s="21"/>
      <c r="P48" s="23"/>
      <c r="Q48" s="12" t="e">
        <f>IF(#REF!="Store Lost",1,"")</f>
        <v>#REF!</v>
      </c>
    </row>
    <row r="49" spans="1:18" ht="12.75">
      <c r="A49" s="28"/>
      <c r="B49" s="14"/>
      <c r="C49" s="89"/>
      <c r="D49" s="81"/>
      <c r="E49" s="101"/>
      <c r="F49" s="29"/>
      <c r="G49" s="18"/>
      <c r="H49" s="15"/>
      <c r="I49" s="19"/>
      <c r="J49" s="15"/>
      <c r="K49" s="20"/>
      <c r="L49" s="21"/>
      <c r="M49" s="22"/>
      <c r="N49" s="22"/>
      <c r="O49" s="21"/>
      <c r="P49" s="23"/>
      <c r="Q49" s="102">
        <f>Q44+R44</f>
        <v>22</v>
      </c>
      <c r="R49" s="12">
        <f>IF($P50="Store Lost",1,"")</f>
      </c>
    </row>
    <row r="50" spans="1:18" ht="12.75">
      <c r="A50" s="28"/>
      <c r="B50" s="14"/>
      <c r="C50" s="89" t="s">
        <v>49</v>
      </c>
      <c r="D50" s="103">
        <f>IF(D42,D46/D42,D46)</f>
        <v>186.2083333333547</v>
      </c>
      <c r="E50" s="16"/>
      <c r="F50" s="29"/>
      <c r="G50" s="18"/>
      <c r="J50" s="7"/>
      <c r="K50" s="104"/>
      <c r="Q50" s="23"/>
      <c r="R50" s="12">
        <f>IF($P52="Store Lost",1,"")</f>
      </c>
    </row>
    <row r="51" spans="1:18" ht="12.75">
      <c r="A51" s="28"/>
      <c r="B51" s="14"/>
      <c r="C51" s="89" t="s">
        <v>50</v>
      </c>
      <c r="D51" s="81">
        <f>IF(D42,24/D50,0)</f>
        <v>0.12888789438351622</v>
      </c>
      <c r="E51" s="105"/>
      <c r="F51" s="106"/>
      <c r="G51" s="107"/>
      <c r="K51" s="104"/>
      <c r="Q51" s="23"/>
      <c r="R51" s="12" t="e">
        <f>NA()</f>
        <v>#N/A</v>
      </c>
    </row>
    <row r="52" spans="1:18" ht="27" customHeight="1">
      <c r="A52" s="28"/>
      <c r="B52" s="14"/>
      <c r="C52" s="89" t="s">
        <v>51</v>
      </c>
      <c r="D52" s="108">
        <f>D46/D48</f>
        <v>0.9861597803925427</v>
      </c>
      <c r="E52" s="109"/>
      <c r="F52" s="29"/>
      <c r="G52" s="18"/>
      <c r="K52" s="104"/>
      <c r="Q52" s="23"/>
      <c r="R52" s="12" t="e">
        <f>NA()</f>
        <v>#N/A</v>
      </c>
    </row>
    <row r="53" spans="1:18" ht="12.75">
      <c r="A53" s="28"/>
      <c r="B53" s="14"/>
      <c r="C53" s="14"/>
      <c r="D53" s="15"/>
      <c r="E53" s="16"/>
      <c r="F53" s="29"/>
      <c r="G53" s="18"/>
      <c r="K53" s="104"/>
      <c r="Q53" s="23"/>
      <c r="R53" s="12">
        <f aca="true" t="shared" si="4" ref="R53:R62">IF($P55="Store Lost",1,"")</f>
      </c>
    </row>
    <row r="54" spans="1:29" s="110" customFormat="1" ht="12.75">
      <c r="A54" s="28"/>
      <c r="B54" s="14"/>
      <c r="C54" s="14"/>
      <c r="D54" s="15"/>
      <c r="E54" s="16"/>
      <c r="F54" s="29"/>
      <c r="G54" s="18"/>
      <c r="H54" s="7"/>
      <c r="I54" s="7"/>
      <c r="J54" s="3"/>
      <c r="K54" s="104"/>
      <c r="L54" s="9"/>
      <c r="M54" s="10"/>
      <c r="N54" s="10"/>
      <c r="O54" s="9"/>
      <c r="P54" s="11"/>
      <c r="Q54" s="23"/>
      <c r="R54" s="12">
        <f t="shared" si="4"/>
      </c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18" ht="12.75">
      <c r="A55" s="28"/>
      <c r="B55" s="14"/>
      <c r="C55" s="14"/>
      <c r="D55" s="15"/>
      <c r="E55" s="16"/>
      <c r="F55" s="29"/>
      <c r="G55" s="18"/>
      <c r="K55" s="104"/>
      <c r="Q55" s="23"/>
      <c r="R55" s="12">
        <f t="shared" si="4"/>
      </c>
    </row>
    <row r="56" spans="1:18" ht="12.75">
      <c r="A56" s="28"/>
      <c r="B56" s="14"/>
      <c r="C56" s="14"/>
      <c r="D56" s="15"/>
      <c r="E56" s="16"/>
      <c r="F56" s="29"/>
      <c r="G56" s="18"/>
      <c r="K56" s="104"/>
      <c r="Q56" s="23"/>
      <c r="R56" s="12">
        <f t="shared" si="4"/>
      </c>
    </row>
    <row r="57" spans="1:18" ht="12.75">
      <c r="A57" s="28"/>
      <c r="B57" s="14"/>
      <c r="C57" s="14"/>
      <c r="D57" s="15"/>
      <c r="E57" s="16"/>
      <c r="F57" s="29"/>
      <c r="G57" s="18"/>
      <c r="K57" s="104"/>
      <c r="Q57" s="23"/>
      <c r="R57" s="12">
        <f t="shared" si="4"/>
      </c>
    </row>
    <row r="58" spans="1:18" ht="12.75">
      <c r="A58" s="28"/>
      <c r="B58" s="14"/>
      <c r="C58" s="14"/>
      <c r="D58" s="15"/>
      <c r="E58" s="16"/>
      <c r="F58" s="29"/>
      <c r="G58" s="18"/>
      <c r="K58" s="104"/>
      <c r="Q58" s="23"/>
      <c r="R58" s="12">
        <f t="shared" si="4"/>
      </c>
    </row>
    <row r="59" spans="1:18" ht="12.75">
      <c r="A59" s="28"/>
      <c r="B59" s="14"/>
      <c r="C59" s="14"/>
      <c r="D59" s="15"/>
      <c r="E59" s="16"/>
      <c r="F59" s="29"/>
      <c r="G59" s="18"/>
      <c r="K59" s="104"/>
      <c r="Q59" s="23"/>
      <c r="R59" s="12">
        <f t="shared" si="4"/>
      </c>
    </row>
    <row r="60" spans="1:18" ht="12.75">
      <c r="A60" s="28"/>
      <c r="B60" s="14"/>
      <c r="C60" s="14"/>
      <c r="D60" s="15"/>
      <c r="E60" s="16"/>
      <c r="F60" s="29"/>
      <c r="G60" s="18"/>
      <c r="K60" s="104"/>
      <c r="Q60" s="23"/>
      <c r="R60" s="12">
        <f t="shared" si="4"/>
      </c>
    </row>
    <row r="61" spans="1:18" ht="12.75">
      <c r="A61" s="28"/>
      <c r="B61" s="14"/>
      <c r="C61" s="14"/>
      <c r="D61" s="15"/>
      <c r="E61" s="16"/>
      <c r="F61" s="29"/>
      <c r="G61" s="18"/>
      <c r="K61" s="104"/>
      <c r="Q61" s="23"/>
      <c r="R61" s="12">
        <f t="shared" si="4"/>
      </c>
    </row>
    <row r="62" spans="1:18" ht="12.75">
      <c r="A62" s="28"/>
      <c r="B62" s="14"/>
      <c r="C62" s="14"/>
      <c r="D62" s="15"/>
      <c r="E62" s="16"/>
      <c r="F62" s="29"/>
      <c r="G62" s="18"/>
      <c r="K62" s="104"/>
      <c r="Q62" s="23"/>
      <c r="R62" s="12">
        <f t="shared" si="4"/>
      </c>
    </row>
    <row r="63" spans="1:29" s="111" customFormat="1" ht="12.75">
      <c r="A63" s="28"/>
      <c r="B63" s="14"/>
      <c r="C63" s="14"/>
      <c r="D63" s="15"/>
      <c r="E63" s="16"/>
      <c r="F63" s="29"/>
      <c r="G63" s="18"/>
      <c r="H63" s="7"/>
      <c r="I63" s="7"/>
      <c r="J63" s="3"/>
      <c r="K63" s="104"/>
      <c r="L63" s="9"/>
      <c r="M63" s="10"/>
      <c r="N63" s="10"/>
      <c r="O63" s="9"/>
      <c r="P63" s="11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spans="1:29" s="30" customFormat="1" ht="12.75">
      <c r="A64" s="28"/>
      <c r="B64" s="14"/>
      <c r="C64" s="14"/>
      <c r="D64" s="15"/>
      <c r="E64" s="16"/>
      <c r="F64" s="29"/>
      <c r="G64" s="18"/>
      <c r="H64" s="7"/>
      <c r="I64" s="7"/>
      <c r="J64" s="3"/>
      <c r="K64" s="104"/>
      <c r="L64" s="9"/>
      <c r="M64" s="10"/>
      <c r="N64" s="10"/>
      <c r="O64" s="9"/>
      <c r="P64" s="11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10"/>
      <c r="AB64" s="110"/>
      <c r="AC64" s="110"/>
    </row>
    <row r="65" spans="1:16" ht="12.75">
      <c r="A65" s="28"/>
      <c r="B65" s="14"/>
      <c r="C65" s="14"/>
      <c r="D65" s="15"/>
      <c r="E65" s="16"/>
      <c r="F65" s="29"/>
      <c r="G65" s="18"/>
      <c r="H65" s="19"/>
      <c r="I65" s="19"/>
      <c r="J65" s="15"/>
      <c r="K65" s="20"/>
      <c r="L65" s="21"/>
      <c r="M65" s="22"/>
      <c r="N65" s="22"/>
      <c r="O65" s="21"/>
      <c r="P65" s="23"/>
    </row>
    <row r="66" spans="1:26" ht="12.75">
      <c r="A66" s="28"/>
      <c r="B66" s="14"/>
      <c r="C66" s="14"/>
      <c r="E66" s="16"/>
      <c r="F66" s="29"/>
      <c r="G66" s="18"/>
      <c r="H66" s="19"/>
      <c r="I66" s="19"/>
      <c r="L66" s="21"/>
      <c r="M66" s="22"/>
      <c r="N66" s="22"/>
      <c r="O66" s="21"/>
      <c r="P66" s="23"/>
      <c r="U66" s="110"/>
      <c r="V66" s="110"/>
      <c r="W66" s="110"/>
      <c r="X66" s="110"/>
      <c r="Y66" s="110"/>
      <c r="Z66" s="110"/>
    </row>
    <row r="67" spans="1:16" ht="12.75">
      <c r="A67" s="28"/>
      <c r="B67" s="14"/>
      <c r="C67" s="14"/>
      <c r="E67" s="16"/>
      <c r="F67" s="29"/>
      <c r="G67" s="18"/>
      <c r="H67" s="19"/>
      <c r="I67" s="19"/>
      <c r="L67" s="21"/>
      <c r="M67" s="22"/>
      <c r="N67" s="22"/>
      <c r="O67" s="21"/>
      <c r="P67" s="23"/>
    </row>
    <row r="68" spans="1:16" ht="12.75">
      <c r="A68" s="28"/>
      <c r="B68" s="14"/>
      <c r="C68" s="14"/>
      <c r="E68" s="16"/>
      <c r="F68" s="29"/>
      <c r="G68" s="18"/>
      <c r="H68" s="19"/>
      <c r="I68" s="19"/>
      <c r="L68" s="21"/>
      <c r="M68" s="22"/>
      <c r="N68" s="22"/>
      <c r="O68" s="21"/>
      <c r="P68" s="23"/>
    </row>
    <row r="69" spans="1:16" ht="12.75">
      <c r="A69" s="28"/>
      <c r="B69" s="14"/>
      <c r="C69" s="14"/>
      <c r="F69" s="29"/>
      <c r="G69" s="18"/>
      <c r="H69" s="19"/>
      <c r="I69" s="19"/>
      <c r="L69" s="21"/>
      <c r="M69" s="22"/>
      <c r="N69" s="22"/>
      <c r="O69" s="21"/>
      <c r="P69" s="23"/>
    </row>
    <row r="70" spans="1:20" ht="12.75">
      <c r="A70" s="28"/>
      <c r="B70" s="14"/>
      <c r="C70" s="14"/>
      <c r="F70" s="29"/>
      <c r="G70" s="18"/>
      <c r="H70" s="19"/>
      <c r="I70" s="19"/>
      <c r="L70" s="21"/>
      <c r="M70" s="22"/>
      <c r="N70" s="22"/>
      <c r="O70" s="21"/>
      <c r="P70" s="23"/>
      <c r="R70" s="110"/>
      <c r="S70" s="110"/>
      <c r="T70" s="110"/>
    </row>
    <row r="71" spans="2:16" ht="12.75">
      <c r="B71" s="14"/>
      <c r="C71" s="14"/>
      <c r="F71" s="29"/>
      <c r="G71" s="18"/>
      <c r="H71" s="19"/>
      <c r="I71" s="19"/>
      <c r="L71" s="21"/>
      <c r="M71" s="22"/>
      <c r="N71" s="22"/>
      <c r="O71" s="21"/>
      <c r="P71" s="23"/>
    </row>
    <row r="72" spans="2:17" ht="12.75">
      <c r="B72" s="14"/>
      <c r="C72" s="14"/>
      <c r="F72" s="29"/>
      <c r="G72" s="18"/>
      <c r="H72" s="19"/>
      <c r="I72" s="19"/>
      <c r="L72" s="21"/>
      <c r="M72" s="22"/>
      <c r="N72" s="22"/>
      <c r="O72" s="21"/>
      <c r="P72" s="23"/>
      <c r="Q72" s="12">
        <f aca="true" t="shared" si="5" ref="Q72:Q129">IF($O74="Store Lost",1,"")</f>
      </c>
    </row>
    <row r="73" spans="2:29" ht="12.75">
      <c r="B73" s="14"/>
      <c r="C73" s="14"/>
      <c r="F73" s="29"/>
      <c r="G73" s="18"/>
      <c r="H73" s="19"/>
      <c r="I73" s="19"/>
      <c r="L73" s="21"/>
      <c r="M73" s="22"/>
      <c r="N73" s="22"/>
      <c r="O73" s="21"/>
      <c r="P73" s="23"/>
      <c r="Q73" s="12">
        <f t="shared" si="5"/>
      </c>
      <c r="AA73" s="111"/>
      <c r="AB73" s="111"/>
      <c r="AC73" s="111"/>
    </row>
    <row r="74" spans="2:29" ht="12.75">
      <c r="B74" s="14"/>
      <c r="C74" s="14"/>
      <c r="Q74" s="12">
        <f t="shared" si="5"/>
      </c>
      <c r="AA74" s="30"/>
      <c r="AB74" s="30"/>
      <c r="AC74" s="30"/>
    </row>
    <row r="75" spans="17:26" ht="12.75">
      <c r="Q75" s="12">
        <f t="shared" si="5"/>
      </c>
      <c r="U75" s="111"/>
      <c r="V75" s="111"/>
      <c r="W75" s="111"/>
      <c r="X75" s="111"/>
      <c r="Y75" s="111"/>
      <c r="Z75" s="111"/>
    </row>
    <row r="76" spans="17:26" ht="12.75">
      <c r="Q76" s="12">
        <f t="shared" si="5"/>
      </c>
      <c r="U76" s="30"/>
      <c r="V76" s="30"/>
      <c r="W76" s="30"/>
      <c r="X76" s="30"/>
      <c r="Y76" s="30"/>
      <c r="Z76" s="30"/>
    </row>
    <row r="77" spans="1:29" s="110" customFormat="1" ht="12.75">
      <c r="A77" s="1"/>
      <c r="B77" s="2"/>
      <c r="C77" s="2"/>
      <c r="D77" s="3"/>
      <c r="E77" s="4"/>
      <c r="F77" s="5"/>
      <c r="G77" s="6"/>
      <c r="H77" s="7"/>
      <c r="I77" s="7"/>
      <c r="J77" s="3"/>
      <c r="K77" s="8"/>
      <c r="L77" s="9"/>
      <c r="M77" s="10"/>
      <c r="N77" s="10"/>
      <c r="O77" s="9"/>
      <c r="P77" s="11"/>
      <c r="Q77" s="12">
        <f t="shared" si="5"/>
      </c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</row>
    <row r="78" ht="12.75">
      <c r="Q78" s="12">
        <f t="shared" si="5"/>
      </c>
    </row>
    <row r="79" spans="17:20" ht="12.75">
      <c r="Q79" s="12">
        <f t="shared" si="5"/>
      </c>
      <c r="R79" s="111"/>
      <c r="S79" s="111"/>
      <c r="T79" s="111"/>
    </row>
    <row r="80" spans="17:20" ht="12.75">
      <c r="Q80" s="12">
        <f t="shared" si="5"/>
      </c>
      <c r="R80" s="30"/>
      <c r="S80" s="30"/>
      <c r="T80" s="30"/>
    </row>
    <row r="81" ht="12.75">
      <c r="Q81" s="12">
        <f t="shared" si="5"/>
      </c>
    </row>
    <row r="82" ht="12.75">
      <c r="Q82" s="12">
        <f t="shared" si="5"/>
      </c>
    </row>
    <row r="83" ht="12.75">
      <c r="Q83" s="12">
        <f t="shared" si="5"/>
      </c>
    </row>
    <row r="84" ht="12.75">
      <c r="Q84" s="12">
        <f t="shared" si="5"/>
      </c>
    </row>
    <row r="85" ht="12.75">
      <c r="Q85" s="12">
        <f t="shared" si="5"/>
      </c>
    </row>
    <row r="86" ht="12.75">
      <c r="Q86" s="12">
        <f t="shared" si="5"/>
      </c>
    </row>
    <row r="87" spans="17:29" ht="12.75">
      <c r="Q87" s="12">
        <f t="shared" si="5"/>
      </c>
      <c r="AA87" s="110"/>
      <c r="AB87" s="110"/>
      <c r="AC87" s="110"/>
    </row>
    <row r="88" ht="12.75">
      <c r="Q88" s="12">
        <f t="shared" si="5"/>
      </c>
    </row>
    <row r="89" spans="17:26" ht="12.75">
      <c r="Q89" s="12">
        <f t="shared" si="5"/>
      </c>
      <c r="U89" s="110"/>
      <c r="V89" s="110"/>
      <c r="W89" s="110"/>
      <c r="X89" s="110"/>
      <c r="Y89" s="110"/>
      <c r="Z89" s="110"/>
    </row>
    <row r="90" spans="1:29" s="110" customFormat="1" ht="12.75">
      <c r="A90" s="1"/>
      <c r="B90" s="2"/>
      <c r="C90" s="2"/>
      <c r="D90" s="3"/>
      <c r="E90" s="4"/>
      <c r="F90" s="5"/>
      <c r="G90" s="6"/>
      <c r="H90" s="7"/>
      <c r="I90" s="7"/>
      <c r="J90" s="3"/>
      <c r="K90" s="8"/>
      <c r="L90" s="9"/>
      <c r="M90" s="10"/>
      <c r="N90" s="10"/>
      <c r="O90" s="9"/>
      <c r="P90" s="11"/>
      <c r="Q90" s="12">
        <f t="shared" si="5"/>
      </c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</row>
    <row r="91" spans="1:29" s="30" customFormat="1" ht="12.75">
      <c r="A91" s="1"/>
      <c r="B91" s="2"/>
      <c r="C91" s="2"/>
      <c r="D91" s="3"/>
      <c r="E91" s="4"/>
      <c r="F91" s="5"/>
      <c r="G91" s="6"/>
      <c r="H91" s="7"/>
      <c r="I91" s="7"/>
      <c r="J91" s="3"/>
      <c r="K91" s="8"/>
      <c r="L91" s="9"/>
      <c r="M91" s="10"/>
      <c r="N91" s="10"/>
      <c r="O91" s="9"/>
      <c r="P91" s="11"/>
      <c r="Q91" s="12">
        <f t="shared" si="5"/>
      </c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</row>
    <row r="92" spans="1:29" s="110" customFormat="1" ht="12.75">
      <c r="A92" s="1"/>
      <c r="B92" s="2"/>
      <c r="C92" s="2"/>
      <c r="D92" s="3"/>
      <c r="E92" s="4"/>
      <c r="F92" s="5"/>
      <c r="G92" s="6"/>
      <c r="H92" s="7"/>
      <c r="I92" s="7"/>
      <c r="J92" s="3"/>
      <c r="K92" s="8"/>
      <c r="L92" s="9"/>
      <c r="M92" s="10"/>
      <c r="N92" s="10"/>
      <c r="O92" s="9"/>
      <c r="P92" s="11"/>
      <c r="Q92" s="12">
        <f t="shared" si="5"/>
      </c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</row>
    <row r="93" spans="17:20" ht="12.75">
      <c r="Q93" s="12">
        <f t="shared" si="5"/>
      </c>
      <c r="R93" s="110"/>
      <c r="S93" s="110"/>
      <c r="T93" s="110"/>
    </row>
    <row r="94" ht="12.75">
      <c r="Q94" s="12">
        <f t="shared" si="5"/>
      </c>
    </row>
    <row r="95" ht="12.75">
      <c r="Q95" s="12">
        <f t="shared" si="5"/>
      </c>
    </row>
    <row r="96" ht="12.75">
      <c r="Q96" s="12">
        <f t="shared" si="5"/>
      </c>
    </row>
    <row r="97" ht="12.75">
      <c r="Q97" s="12">
        <f t="shared" si="5"/>
      </c>
    </row>
    <row r="98" ht="12.75">
      <c r="Q98" s="12">
        <f t="shared" si="5"/>
      </c>
    </row>
    <row r="99" ht="12.75">
      <c r="Q99" s="12">
        <f t="shared" si="5"/>
      </c>
    </row>
    <row r="100" spans="17:29" ht="12.75">
      <c r="Q100" s="12">
        <f t="shared" si="5"/>
      </c>
      <c r="AA100" s="110"/>
      <c r="AB100" s="110"/>
      <c r="AC100" s="110"/>
    </row>
    <row r="101" spans="17:29" ht="12.75">
      <c r="Q101" s="12">
        <f t="shared" si="5"/>
      </c>
      <c r="AA101" s="30"/>
      <c r="AB101" s="30"/>
      <c r="AC101" s="30"/>
    </row>
    <row r="102" spans="17:29" ht="12.75">
      <c r="Q102" s="12">
        <f t="shared" si="5"/>
      </c>
      <c r="U102" s="110"/>
      <c r="V102" s="110"/>
      <c r="W102" s="110"/>
      <c r="X102" s="110"/>
      <c r="Y102" s="110"/>
      <c r="Z102" s="110"/>
      <c r="AA102" s="110"/>
      <c r="AB102" s="110"/>
      <c r="AC102" s="110"/>
    </row>
    <row r="103" spans="17:26" ht="12.75">
      <c r="Q103" s="12">
        <f t="shared" si="5"/>
      </c>
      <c r="U103" s="30"/>
      <c r="V103" s="30"/>
      <c r="W103" s="30"/>
      <c r="X103" s="30"/>
      <c r="Y103" s="30"/>
      <c r="Z103" s="30"/>
    </row>
    <row r="104" spans="17:26" ht="12.75">
      <c r="Q104" s="12">
        <f t="shared" si="5"/>
      </c>
      <c r="U104" s="110"/>
      <c r="V104" s="110"/>
      <c r="W104" s="110"/>
      <c r="X104" s="110"/>
      <c r="Y104" s="110"/>
      <c r="Z104" s="110"/>
    </row>
    <row r="105" ht="12.75">
      <c r="Q105" s="12">
        <f t="shared" si="5"/>
      </c>
    </row>
    <row r="106" spans="17:20" ht="12.75">
      <c r="Q106" s="12">
        <f t="shared" si="5"/>
      </c>
      <c r="R106" s="110"/>
      <c r="S106" s="110"/>
      <c r="T106" s="110"/>
    </row>
    <row r="107" spans="17:20" ht="12.75">
      <c r="Q107" s="12">
        <f t="shared" si="5"/>
      </c>
      <c r="R107" s="30"/>
      <c r="S107" s="30"/>
      <c r="T107" s="30"/>
    </row>
    <row r="108" spans="17:20" ht="12.75">
      <c r="Q108" s="12">
        <f t="shared" si="5"/>
      </c>
      <c r="R108" s="110"/>
      <c r="S108" s="110"/>
      <c r="T108" s="110"/>
    </row>
    <row r="109" ht="12.75">
      <c r="Q109" s="12">
        <f t="shared" si="5"/>
      </c>
    </row>
    <row r="110" ht="12.75">
      <c r="Q110" s="12">
        <f t="shared" si="5"/>
      </c>
    </row>
    <row r="111" ht="12.75">
      <c r="Q111" s="12">
        <f t="shared" si="5"/>
      </c>
    </row>
    <row r="112" ht="12.75">
      <c r="Q112" s="12">
        <f t="shared" si="5"/>
      </c>
    </row>
    <row r="113" spans="1:29" s="110" customFormat="1" ht="12.75">
      <c r="A113" s="1"/>
      <c r="B113" s="2"/>
      <c r="C113" s="2"/>
      <c r="D113" s="3"/>
      <c r="E113" s="4"/>
      <c r="F113" s="5"/>
      <c r="G113" s="6"/>
      <c r="H113" s="7"/>
      <c r="I113" s="7"/>
      <c r="J113" s="3"/>
      <c r="K113" s="8"/>
      <c r="L113" s="9"/>
      <c r="M113" s="10"/>
      <c r="N113" s="10"/>
      <c r="O113" s="9"/>
      <c r="P113" s="11"/>
      <c r="Q113" s="12">
        <f t="shared" si="5"/>
      </c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</row>
    <row r="114" ht="12.75">
      <c r="Q114" s="12">
        <f t="shared" si="5"/>
      </c>
    </row>
    <row r="115" ht="12.75">
      <c r="Q115" s="12">
        <f t="shared" si="5"/>
      </c>
    </row>
    <row r="116" ht="12.75">
      <c r="Q116" s="12">
        <f t="shared" si="5"/>
      </c>
    </row>
    <row r="117" ht="12.75">
      <c r="Q117" s="12">
        <f t="shared" si="5"/>
      </c>
    </row>
    <row r="118" ht="12.75">
      <c r="Q118" s="12">
        <f t="shared" si="5"/>
      </c>
    </row>
    <row r="119" ht="12.75">
      <c r="Q119" s="12">
        <f t="shared" si="5"/>
      </c>
    </row>
    <row r="120" ht="12.75">
      <c r="Q120" s="12">
        <f t="shared" si="5"/>
      </c>
    </row>
    <row r="121" ht="12.75">
      <c r="Q121" s="12">
        <f t="shared" si="5"/>
      </c>
    </row>
    <row r="122" ht="12.75">
      <c r="Q122" s="12">
        <f t="shared" si="5"/>
      </c>
    </row>
    <row r="123" spans="17:29" ht="12.75">
      <c r="Q123" s="12">
        <f t="shared" si="5"/>
      </c>
      <c r="AA123" s="110"/>
      <c r="AB123" s="110"/>
      <c r="AC123" s="110"/>
    </row>
    <row r="124" ht="12.75">
      <c r="Q124" s="12">
        <f t="shared" si="5"/>
      </c>
    </row>
    <row r="125" spans="17:26" ht="12.75">
      <c r="Q125" s="12">
        <f t="shared" si="5"/>
      </c>
      <c r="U125" s="110"/>
      <c r="V125" s="110"/>
      <c r="W125" s="110"/>
      <c r="X125" s="110"/>
      <c r="Y125" s="110"/>
      <c r="Z125" s="110"/>
    </row>
    <row r="126" ht="12.75">
      <c r="Q126" s="12">
        <f t="shared" si="5"/>
      </c>
    </row>
    <row r="127" ht="12.75">
      <c r="Q127" s="12">
        <f t="shared" si="5"/>
      </c>
    </row>
    <row r="128" ht="12.75">
      <c r="Q128" s="12">
        <f t="shared" si="5"/>
      </c>
    </row>
    <row r="129" spans="17:20" ht="12.75">
      <c r="Q129" s="12">
        <f t="shared" si="5"/>
      </c>
      <c r="R129" s="110"/>
      <c r="S129" s="110"/>
      <c r="T129" s="110"/>
    </row>
    <row r="133" ht="12.75">
      <c r="Q133" s="12">
        <f>COUNT(Q40:Q129)</f>
        <v>2</v>
      </c>
    </row>
  </sheetData>
  <sheetProtection selectLockedCells="1" selectUnlockedCells="1"/>
  <mergeCells count="1">
    <mergeCell ref="A2:I2"/>
  </mergeCells>
  <printOptions/>
  <pageMargins left="0" right="0" top="0" bottom="0.15" header="0.5118055555555555" footer="0.15"/>
  <pageSetup fitToHeight="0" fitToWidth="1" horizontalDpi="300" verticalDpi="300" orientation="landscape" paperSize="3"/>
  <headerFooter alignWithMargins="0">
    <oddFooter>&amp;RUpdated &amp;D</oddFooter>
  </headerFooter>
  <rowBreaks count="1" manualBreakCount="1">
    <brk id="6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44"/>
  <sheetViews>
    <sheetView zoomScale="75" zoomScaleNormal="75" zoomScalePageLayoutView="0" workbookViewId="0" topLeftCell="A8">
      <selection activeCell="A23" sqref="A23"/>
    </sheetView>
  </sheetViews>
  <sheetFormatPr defaultColWidth="9.140625" defaultRowHeight="12.75"/>
  <cols>
    <col min="1" max="1" width="21.28125" style="0" customWidth="1"/>
    <col min="2" max="2" width="18.8515625" style="0" customWidth="1"/>
    <col min="3" max="7" width="10.00390625" style="0" customWidth="1"/>
    <col min="8" max="8" width="11.57421875" style="0" customWidth="1"/>
    <col min="9" max="11" width="13.8515625" style="0" customWidth="1"/>
    <col min="12" max="13" width="11.57421875" style="0" customWidth="1"/>
    <col min="14" max="14" width="22.28125" style="0" customWidth="1"/>
    <col min="15" max="15" width="12.00390625" style="0" customWidth="1"/>
    <col min="16" max="17" width="22.28125" style="0" customWidth="1"/>
    <col min="18" max="18" width="12.00390625" style="0" customWidth="1"/>
    <col min="19" max="20" width="22.28125" style="0" customWidth="1"/>
    <col min="21" max="21" width="4.00390625" style="0" customWidth="1"/>
    <col min="22" max="23" width="22.28125" style="0" customWidth="1"/>
    <col min="24" max="24" width="12.00390625" style="0" customWidth="1"/>
    <col min="25" max="26" width="21.140625" style="0" customWidth="1"/>
    <col min="27" max="27" width="4.00390625" style="0" customWidth="1"/>
    <col min="28" max="29" width="21.140625" style="0" customWidth="1"/>
    <col min="30" max="30" width="4.421875" style="0" customWidth="1"/>
    <col min="31" max="32" width="21.140625" style="0" customWidth="1"/>
    <col min="33" max="33" width="5.00390625" style="0" customWidth="1"/>
    <col min="34" max="35" width="21.140625" style="0" customWidth="1"/>
    <col min="36" max="36" width="10.28125" style="0" customWidth="1"/>
  </cols>
  <sheetData>
    <row r="3" spans="1:7" ht="12.75">
      <c r="A3" s="112"/>
      <c r="B3" s="113" t="s">
        <v>15</v>
      </c>
      <c r="C3" s="114"/>
      <c r="D3" s="114"/>
      <c r="E3" s="114"/>
      <c r="F3" s="114"/>
      <c r="G3" s="115"/>
    </row>
    <row r="4" spans="1:7" ht="12.75">
      <c r="A4" s="113" t="s">
        <v>52</v>
      </c>
      <c r="B4" s="113" t="s">
        <v>33</v>
      </c>
      <c r="C4" s="116" t="s">
        <v>23</v>
      </c>
      <c r="D4" s="116" t="s">
        <v>28</v>
      </c>
      <c r="E4" s="116" t="s">
        <v>26</v>
      </c>
      <c r="F4" s="116" t="s">
        <v>53</v>
      </c>
      <c r="G4" s="117" t="s">
        <v>54</v>
      </c>
    </row>
    <row r="5" spans="1:7" ht="12.75">
      <c r="A5" s="113" t="s">
        <v>55</v>
      </c>
      <c r="B5" s="118">
        <v>0</v>
      </c>
      <c r="C5" s="119">
        <v>0</v>
      </c>
      <c r="D5" s="119">
        <v>1</v>
      </c>
      <c r="E5" s="119">
        <v>0</v>
      </c>
      <c r="F5" s="119">
        <v>1</v>
      </c>
      <c r="G5" s="120">
        <v>2</v>
      </c>
    </row>
    <row r="6" spans="1:7" ht="12.75">
      <c r="A6" s="121" t="s">
        <v>56</v>
      </c>
      <c r="B6" s="122">
        <v>2</v>
      </c>
      <c r="C6" s="123">
        <v>9</v>
      </c>
      <c r="D6" s="123">
        <v>1</v>
      </c>
      <c r="E6" s="123">
        <v>1</v>
      </c>
      <c r="F6" s="123">
        <v>0</v>
      </c>
      <c r="G6" s="124">
        <v>13</v>
      </c>
    </row>
    <row r="7" spans="1:7" ht="12.75">
      <c r="A7" s="125" t="s">
        <v>57</v>
      </c>
      <c r="B7" s="126">
        <v>2.166666666744277</v>
      </c>
      <c r="C7" s="127">
        <v>11.833333333139308</v>
      </c>
      <c r="D7" s="128">
        <v>1.4333333332906477</v>
      </c>
      <c r="E7" s="128">
        <v>16.000000000116415</v>
      </c>
      <c r="F7" s="128">
        <v>0.933333333407063</v>
      </c>
      <c r="G7" s="129">
        <v>32.36666666669771</v>
      </c>
    </row>
    <row r="13" spans="2:20" ht="12.75">
      <c r="B13" s="130" t="s">
        <v>23</v>
      </c>
      <c r="C13" s="131" t="s">
        <v>58</v>
      </c>
      <c r="D13" s="131" t="s">
        <v>33</v>
      </c>
      <c r="E13" s="131" t="s">
        <v>59</v>
      </c>
      <c r="F13" s="131" t="s">
        <v>60</v>
      </c>
      <c r="G13" s="131" t="s">
        <v>61</v>
      </c>
      <c r="H13" s="131" t="s">
        <v>62</v>
      </c>
      <c r="I13" s="131" t="s">
        <v>63</v>
      </c>
      <c r="J13" s="131" t="s">
        <v>64</v>
      </c>
      <c r="K13" s="131" t="s">
        <v>65</v>
      </c>
      <c r="L13" s="131" t="s">
        <v>66</v>
      </c>
      <c r="M13" s="131" t="s">
        <v>67</v>
      </c>
      <c r="N13" s="131" t="s">
        <v>68</v>
      </c>
      <c r="O13" s="131" t="s">
        <v>69</v>
      </c>
      <c r="P13" s="131" t="s">
        <v>70</v>
      </c>
      <c r="Q13" s="132" t="s">
        <v>71</v>
      </c>
      <c r="R13" s="133" t="s">
        <v>72</v>
      </c>
      <c r="S13" s="133" t="s">
        <v>54</v>
      </c>
      <c r="T13" s="134" t="s">
        <v>73</v>
      </c>
    </row>
    <row r="15" spans="1:20" s="138" customFormat="1" ht="12.75">
      <c r="A15" s="135" t="s">
        <v>74</v>
      </c>
      <c r="B15" s="136" t="e">
        <f>IF(B17,SUM(B17/B26),"")</f>
        <v>#REF!</v>
      </c>
      <c r="C15" s="136">
        <f>IF(C17,SUM(C17/B26),"")</f>
      </c>
      <c r="D15" s="136" t="e">
        <f>IF(D17,SUM(D17/B26),"")</f>
        <v>#REF!</v>
      </c>
      <c r="E15" s="136">
        <f>IF(E17,SUM(E17/B26),"")</f>
      </c>
      <c r="F15" s="136"/>
      <c r="G15" s="136">
        <f>IF(G17,SUM(G17/B26),"")</f>
      </c>
      <c r="H15" s="136" t="e">
        <f>IF(H17,SUM(H17/B26),"")</f>
        <v>#REF!</v>
      </c>
      <c r="I15" s="136">
        <f>IF(I17,SUM(I17/B26),"")</f>
      </c>
      <c r="J15" s="136" t="e">
        <f>IF(J17,SUM(J17/B26),"")</f>
        <v>#REF!</v>
      </c>
      <c r="K15" s="136" t="e">
        <f>IF(K17,SUM(K17/C26),"")</f>
        <v>#REF!</v>
      </c>
      <c r="L15" s="136"/>
      <c r="M15" s="136">
        <f>IF(M17,SUM(M17/B26),"")</f>
      </c>
      <c r="N15" s="136"/>
      <c r="O15" s="136"/>
      <c r="P15" s="136">
        <f>IF(Q17,SUM(Q17/C26),"")</f>
      </c>
      <c r="Q15" s="136">
        <f>IF(Q17,SUM(Q17/B26),"")</f>
      </c>
      <c r="R15" s="136"/>
      <c r="S15" s="136" t="e">
        <f>IF(S17,SUM(S17/B26),"")</f>
        <v>#REF!</v>
      </c>
      <c r="T15" s="137">
        <f>IF(T17,SUM(T17/M13),"")</f>
      </c>
    </row>
    <row r="16" spans="1:20" ht="12.75">
      <c r="A16" s="135" t="s">
        <v>75</v>
      </c>
      <c r="B16" s="139" t="e">
        <f>#REF!</f>
        <v>#REF!</v>
      </c>
      <c r="C16" s="139" t="e">
        <f>#REF!</f>
        <v>#REF!</v>
      </c>
      <c r="D16" s="139" t="e">
        <f>#REF!</f>
        <v>#REF!</v>
      </c>
      <c r="E16" s="139" t="e">
        <f>#REF!</f>
        <v>#REF!</v>
      </c>
      <c r="F16" s="139">
        <v>0.0028</v>
      </c>
      <c r="G16" s="139">
        <v>0.0028</v>
      </c>
      <c r="H16" s="139" t="e">
        <f>#REF!</f>
        <v>#REF!</v>
      </c>
      <c r="I16" s="139" t="e">
        <f>#REF!</f>
        <v>#REF!</v>
      </c>
      <c r="J16" s="139" t="e">
        <f>#REF!</f>
        <v>#REF!</v>
      </c>
      <c r="K16" s="139" t="e">
        <f>#REF!</f>
        <v>#REF!</v>
      </c>
      <c r="L16" s="139" t="e">
        <f>#REF!</f>
        <v>#REF!</v>
      </c>
      <c r="M16" s="139" t="e">
        <f>#REF!</f>
        <v>#REF!</v>
      </c>
      <c r="N16" s="139" t="e">
        <f>#REF!</f>
        <v>#REF!</v>
      </c>
      <c r="O16" s="139" t="e">
        <f>#REF!</f>
        <v>#REF!</v>
      </c>
      <c r="P16" s="139" t="e">
        <f>#REF!</f>
        <v>#REF!</v>
      </c>
      <c r="Q16" s="139" t="e">
        <f>#REF!</f>
        <v>#REF!</v>
      </c>
      <c r="R16" s="139" t="e">
        <f>#REF!</f>
        <v>#REF!</v>
      </c>
      <c r="S16" s="139" t="e">
        <f>SUM(B16:R16)</f>
        <v>#REF!</v>
      </c>
      <c r="T16" s="140"/>
    </row>
    <row r="17" spans="1:20" s="138" customFormat="1" ht="12.75">
      <c r="A17" s="135" t="s">
        <v>76</v>
      </c>
      <c r="B17" s="137" t="e">
        <f>GETPIVOTDATA("Sum of System Length",$A$3,"Group","RF")</f>
        <v>#REF!</v>
      </c>
      <c r="C17" s="137"/>
      <c r="D17" s="137" t="e">
        <f>GETPIVOTDATA("Sum of System Length",$A$3,"Group","PS")</f>
        <v>#REF!</v>
      </c>
      <c r="E17" s="137"/>
      <c r="F17" s="137"/>
      <c r="G17" s="137"/>
      <c r="H17" s="137" t="e">
        <f>GETPIVOTDATA("Sum of System Length",$A$3,"Group","MOM")</f>
        <v>#REF!</v>
      </c>
      <c r="I17" s="137"/>
      <c r="J17" s="137" t="e">
        <f>GETPIVOTDATA("Sum of System Length",$A$3,"Group","MCR")</f>
        <v>#REF!</v>
      </c>
      <c r="K17" s="137" t="e">
        <f>GETPIVOTDATA("Sum of System Length",$A$3,"Group","AOP")</f>
        <v>#REF!</v>
      </c>
      <c r="L17" s="137"/>
      <c r="M17" s="137"/>
      <c r="N17" s="137"/>
      <c r="P17" s="137"/>
      <c r="Q17" s="137"/>
      <c r="R17" s="137"/>
      <c r="S17" s="141" t="e">
        <f>SUM(B17:R17)</f>
        <v>#REF!</v>
      </c>
      <c r="T17" s="142"/>
    </row>
    <row r="18" spans="1:19" ht="12.75">
      <c r="A18" s="143" t="s">
        <v>77</v>
      </c>
      <c r="B18" t="e">
        <f>GETPIVOTDATA("Sum - Store Lost",$A$3,"Group","RF")</f>
        <v>#REF!</v>
      </c>
      <c r="D18" t="e">
        <f>GETPIVOTDATA("Sum - Store Lost",$A$3,"Group","PS")</f>
        <v>#REF!</v>
      </c>
      <c r="H18" t="e">
        <f>GETPIVOTDATA("Sum - Store Lost",$A$3,"Group","MOM")</f>
        <v>#REF!</v>
      </c>
      <c r="J18" t="e">
        <f>GETPIVOTDATA("Sum - Store Lost",$A$3,"Group","MCR")</f>
        <v>#REF!</v>
      </c>
      <c r="K18" t="e">
        <f>GETPIVOTDATA("Sum - Store Lost",$A$3,"Group","AOP")</f>
        <v>#REF!</v>
      </c>
      <c r="S18" s="141" t="e">
        <f>SUM(B18:R18)</f>
        <v>#REF!</v>
      </c>
    </row>
    <row r="19" spans="1:18" ht="12.75">
      <c r="A19" s="143"/>
      <c r="B19" s="123"/>
      <c r="C19" s="123"/>
      <c r="D19" s="123"/>
      <c r="E19" s="123"/>
      <c r="G19" s="123"/>
      <c r="H19" s="123"/>
      <c r="L19" s="123"/>
      <c r="N19" s="123"/>
      <c r="R19" s="141"/>
    </row>
    <row r="20" spans="1:18" ht="12.75">
      <c r="A20" s="143"/>
      <c r="B20" s="123"/>
      <c r="C20" s="123"/>
      <c r="D20" s="123"/>
      <c r="E20" s="123"/>
      <c r="G20" s="123"/>
      <c r="H20" s="123"/>
      <c r="L20" s="123"/>
      <c r="N20" s="123"/>
      <c r="R20" s="141"/>
    </row>
    <row r="21" spans="2:18" ht="12.75">
      <c r="B21" s="130" t="s">
        <v>23</v>
      </c>
      <c r="C21" s="131" t="s">
        <v>58</v>
      </c>
      <c r="D21" s="131" t="s">
        <v>33</v>
      </c>
      <c r="E21" s="131" t="s">
        <v>59</v>
      </c>
      <c r="F21" s="131" t="s">
        <v>60</v>
      </c>
      <c r="G21" s="131" t="s">
        <v>61</v>
      </c>
      <c r="H21" s="131" t="s">
        <v>26</v>
      </c>
      <c r="I21" s="131" t="s">
        <v>64</v>
      </c>
      <c r="J21" s="131" t="s">
        <v>65</v>
      </c>
      <c r="K21" s="131" t="s">
        <v>66</v>
      </c>
      <c r="L21" s="131" t="s">
        <v>67</v>
      </c>
      <c r="M21" s="131" t="s">
        <v>68</v>
      </c>
      <c r="N21" s="131" t="s">
        <v>69</v>
      </c>
      <c r="O21" s="131" t="s">
        <v>70</v>
      </c>
      <c r="P21" s="132" t="s">
        <v>71</v>
      </c>
      <c r="Q21" s="133" t="s">
        <v>72</v>
      </c>
      <c r="R21" s="141"/>
    </row>
    <row r="22" spans="1:18" ht="12.75">
      <c r="A22" s="135" t="s">
        <v>74</v>
      </c>
      <c r="B22" s="144" t="e">
        <f aca="true" t="shared" si="0" ref="B22:H22">B18/($B25/24)</f>
        <v>#REF!</v>
      </c>
      <c r="C22" s="145">
        <f t="shared" si="0"/>
        <v>0</v>
      </c>
      <c r="D22" s="146" t="e">
        <f t="shared" si="0"/>
        <v>#REF!</v>
      </c>
      <c r="E22" s="146">
        <f t="shared" si="0"/>
        <v>0</v>
      </c>
      <c r="F22" s="147">
        <f t="shared" si="0"/>
        <v>0</v>
      </c>
      <c r="G22" s="147">
        <f t="shared" si="0"/>
        <v>0</v>
      </c>
      <c r="H22" s="147" t="e">
        <f t="shared" si="0"/>
        <v>#REF!</v>
      </c>
      <c r="I22" s="146" t="e">
        <f aca="true" t="shared" si="1" ref="I22:R22">J18/($B25/24)</f>
        <v>#REF!</v>
      </c>
      <c r="J22" s="146" t="e">
        <f t="shared" si="1"/>
        <v>#REF!</v>
      </c>
      <c r="K22" s="147">
        <f t="shared" si="1"/>
        <v>0</v>
      </c>
      <c r="L22" s="147">
        <f t="shared" si="1"/>
        <v>0</v>
      </c>
      <c r="M22" s="147">
        <f t="shared" si="1"/>
        <v>0</v>
      </c>
      <c r="N22" s="147">
        <f t="shared" si="1"/>
        <v>0</v>
      </c>
      <c r="O22" s="147">
        <f t="shared" si="1"/>
        <v>0</v>
      </c>
      <c r="P22" s="147">
        <f t="shared" si="1"/>
        <v>0</v>
      </c>
      <c r="Q22" s="147">
        <f t="shared" si="1"/>
        <v>0</v>
      </c>
      <c r="R22" s="147" t="e">
        <f t="shared" si="1"/>
        <v>#REF!</v>
      </c>
    </row>
    <row r="23" spans="1:19" ht="12.75">
      <c r="A23" s="148" t="s">
        <v>75</v>
      </c>
      <c r="B23" s="149" t="e">
        <f>#REF!</f>
        <v>#REF!</v>
      </c>
      <c r="C23" s="149" t="e">
        <f>#REF!</f>
        <v>#REF!</v>
      </c>
      <c r="D23" s="149">
        <v>0.12</v>
      </c>
      <c r="E23" s="149">
        <v>0.05</v>
      </c>
      <c r="F23" s="149">
        <v>0.035</v>
      </c>
      <c r="G23" s="149">
        <v>0.02</v>
      </c>
      <c r="H23" s="149">
        <v>0.06</v>
      </c>
      <c r="I23" s="149">
        <v>0.02</v>
      </c>
      <c r="J23" s="150">
        <v>0</v>
      </c>
      <c r="K23" s="150">
        <v>0.01</v>
      </c>
      <c r="L23" s="150">
        <v>0.01</v>
      </c>
      <c r="M23" s="150">
        <v>0.01</v>
      </c>
      <c r="N23" s="150">
        <v>0.01</v>
      </c>
      <c r="O23" s="150">
        <v>0.02</v>
      </c>
      <c r="P23" s="150">
        <v>0.01</v>
      </c>
      <c r="Q23" s="150">
        <v>0.02</v>
      </c>
      <c r="R23" s="150" t="e">
        <f>SUM(B23:Q23)</f>
        <v>#REF!</v>
      </c>
      <c r="S23" s="151"/>
    </row>
    <row r="25" spans="1:2" ht="12.75">
      <c r="A25" s="89" t="s">
        <v>44</v>
      </c>
      <c r="B25" s="138">
        <f>'Main Data'!D46</f>
        <v>1862.0833333335468</v>
      </c>
    </row>
    <row r="26" spans="1:2" ht="12.75">
      <c r="A26" s="152" t="s">
        <v>48</v>
      </c>
      <c r="B26" s="150">
        <f>'Main Data'!D48</f>
        <v>1888.2166666666744</v>
      </c>
    </row>
    <row r="30" ht="12.75">
      <c r="A30" s="153"/>
    </row>
    <row r="36" ht="12.75">
      <c r="A36" s="154" t="s">
        <v>78</v>
      </c>
    </row>
    <row r="37" spans="1:8" ht="12.75">
      <c r="A37" s="113"/>
      <c r="B37" s="114"/>
      <c r="C37" s="113" t="s">
        <v>13</v>
      </c>
      <c r="D37" s="114"/>
      <c r="E37" s="114"/>
      <c r="F37" s="114"/>
      <c r="G37" s="114"/>
      <c r="H37" s="115"/>
    </row>
    <row r="38" spans="1:8" ht="12.75">
      <c r="A38" s="113" t="s">
        <v>16</v>
      </c>
      <c r="B38" s="113" t="s">
        <v>52</v>
      </c>
      <c r="C38" s="113" t="s">
        <v>33</v>
      </c>
      <c r="D38" s="116" t="s">
        <v>23</v>
      </c>
      <c r="E38" s="116" t="s">
        <v>26</v>
      </c>
      <c r="F38" s="116" t="s">
        <v>28</v>
      </c>
      <c r="G38" s="116" t="s">
        <v>53</v>
      </c>
      <c r="H38" s="117" t="s">
        <v>54</v>
      </c>
    </row>
    <row r="39" spans="1:8" ht="12.75">
      <c r="A39" s="113" t="s">
        <v>18</v>
      </c>
      <c r="B39" s="113" t="s">
        <v>56</v>
      </c>
      <c r="C39" s="118">
        <v>2</v>
      </c>
      <c r="D39" s="119">
        <v>9</v>
      </c>
      <c r="E39" s="119">
        <v>1</v>
      </c>
      <c r="F39" s="119">
        <v>1</v>
      </c>
      <c r="G39" s="119"/>
      <c r="H39" s="120">
        <v>13</v>
      </c>
    </row>
    <row r="40" spans="1:8" ht="12.75">
      <c r="A40" s="155"/>
      <c r="B40" s="121" t="s">
        <v>55</v>
      </c>
      <c r="C40" s="122">
        <v>0</v>
      </c>
      <c r="D40" s="123">
        <v>0</v>
      </c>
      <c r="E40" s="123">
        <v>0</v>
      </c>
      <c r="F40" s="123">
        <v>0</v>
      </c>
      <c r="G40" s="123"/>
      <c r="H40" s="124">
        <v>0</v>
      </c>
    </row>
    <row r="41" spans="1:8" ht="12.75">
      <c r="A41" s="113" t="s">
        <v>79</v>
      </c>
      <c r="B41" s="113" t="s">
        <v>56</v>
      </c>
      <c r="C41" s="118"/>
      <c r="D41" s="119"/>
      <c r="E41" s="119"/>
      <c r="F41" s="119">
        <v>0</v>
      </c>
      <c r="G41" s="119">
        <v>0</v>
      </c>
      <c r="H41" s="120">
        <v>0</v>
      </c>
    </row>
    <row r="42" spans="1:8" ht="12.75">
      <c r="A42" s="155"/>
      <c r="B42" s="121" t="s">
        <v>55</v>
      </c>
      <c r="C42" s="122"/>
      <c r="D42" s="123"/>
      <c r="E42" s="123"/>
      <c r="F42" s="123">
        <v>1</v>
      </c>
      <c r="G42" s="123">
        <v>1</v>
      </c>
      <c r="H42" s="124">
        <v>2</v>
      </c>
    </row>
    <row r="43" spans="1:8" ht="12.75">
      <c r="A43" s="113" t="s">
        <v>80</v>
      </c>
      <c r="B43" s="114"/>
      <c r="C43" s="118">
        <v>2</v>
      </c>
      <c r="D43" s="119">
        <v>9</v>
      </c>
      <c r="E43" s="119">
        <v>1</v>
      </c>
      <c r="F43" s="119">
        <v>1</v>
      </c>
      <c r="G43" s="119">
        <v>0</v>
      </c>
      <c r="H43" s="120">
        <v>13</v>
      </c>
    </row>
    <row r="44" spans="1:8" ht="12.75">
      <c r="A44" s="156" t="s">
        <v>81</v>
      </c>
      <c r="B44" s="157"/>
      <c r="C44" s="158">
        <v>0</v>
      </c>
      <c r="D44" s="159">
        <v>0</v>
      </c>
      <c r="E44" s="159">
        <v>0</v>
      </c>
      <c r="F44" s="159">
        <v>1</v>
      </c>
      <c r="G44" s="159">
        <v>1</v>
      </c>
      <c r="H44" s="160">
        <v>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3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20" max="20" width="12.00390625" style="0" customWidth="1"/>
    <col min="21" max="21" width="3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4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4">
      <selection activeCell="A4" sqref="A4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3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Flood, Randy J.</cp:lastModifiedBy>
  <dcterms:modified xsi:type="dcterms:W3CDTF">2023-02-02T17:33:22Z</dcterms:modified>
  <cp:category/>
  <cp:version/>
  <cp:contentType/>
  <cp:contentStatus/>
</cp:coreProperties>
</file>